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8680" windowHeight="6470" firstSheet="1" activeTab="1"/>
  </bookViews>
  <sheets>
    <sheet name="_11_居宅介護（名前定義）" sheetId="2" state="hidden" r:id="rId1"/>
    <sheet name="(身体あり、単一日中)" sheetId="29" r:id="rId2"/>
    <sheet name="(身体あり、単一早朝夜間)" sheetId="30" r:id="rId3"/>
    <sheet name="(身体あり、単一深夜)" sheetId="31" r:id="rId4"/>
    <sheet name="(身体あり、合成深夜)" sheetId="32" r:id="rId5"/>
    <sheet name="(身体あり、合成早朝)" sheetId="33" r:id="rId6"/>
    <sheet name="(身体あり、合成日中)" sheetId="34" r:id="rId7"/>
    <sheet name="(身体あり、合成夜間１)" sheetId="35" r:id="rId8"/>
    <sheet name="(身体あり、合成夜間２)" sheetId="36" r:id="rId9"/>
    <sheet name="(身体あり、2h未合成１)" sheetId="37" r:id="rId10"/>
    <sheet name="(身体あり、2h未合成２)" sheetId="38" r:id="rId11"/>
    <sheet name="(身体あり、2h未合成３‐1)" sheetId="39" r:id="rId12"/>
    <sheet name="(身体あり、日中増分)" sheetId="41" r:id="rId13"/>
    <sheet name="(身体あり、日中増分)(補正)" sheetId="115" r:id="rId14"/>
    <sheet name="(身体あり、早朝夜間増分)" sheetId="42" r:id="rId15"/>
    <sheet name="(身体あり、早朝夜間増分)(補正)" sheetId="116" r:id="rId16"/>
    <sheet name="(身体あり、深夜増分)" sheetId="43" r:id="rId17"/>
    <sheet name="(身体あり、深夜増分)(補正)" sheetId="117" r:id="rId18"/>
    <sheet name="(身体なし、単一日中)" sheetId="84" r:id="rId19"/>
    <sheet name="(身体なし、単一早朝夜間)" sheetId="85" r:id="rId20"/>
    <sheet name="(身体なし、単一深夜)" sheetId="86" r:id="rId21"/>
    <sheet name="(身体なし、合成１)" sheetId="87" r:id="rId22"/>
    <sheet name="(身体なし、合成２)" sheetId="88" r:id="rId23"/>
    <sheet name="(身体なし、2h未合成１)" sheetId="89" r:id="rId24"/>
    <sheet name="(身体なし、日中増分)" sheetId="90" r:id="rId25"/>
    <sheet name="(身体なし、日中増分)(補正)" sheetId="118" r:id="rId26"/>
    <sheet name="(身体なし、早朝夜間増分)" sheetId="91" r:id="rId27"/>
    <sheet name="(身体なし、早朝夜間増分)(補正)" sheetId="119" r:id="rId28"/>
    <sheet name="(身体なし、深夜増分)" sheetId="92" r:id="rId29"/>
    <sheet name="(身体なし、深夜増分)(補正)" sheetId="120" r:id="rId30"/>
    <sheet name="上限管理加算" sheetId="101" r:id="rId31"/>
    <sheet name="_15_同行援護（名前定義）" sheetId="110" state="hidden" r:id="rId32"/>
  </sheets>
  <externalReferences>
    <externalReference r:id="rId33"/>
  </externalReferences>
  <definedNames>
    <definedName name="_11_A家事０．５" localSheetId="17">'[1]_11_居宅介護（名前定義）'!$C$129</definedName>
    <definedName name="_11_A家事０．５" localSheetId="15">'[1]_11_居宅介護（名前定義）'!$C$129</definedName>
    <definedName name="_11_A家事０．５" localSheetId="13">'[1]_11_居宅介護（名前定義）'!$C$129</definedName>
    <definedName name="_11_A家事０．５" localSheetId="29">'[1]_11_居宅介護（名前定義）'!$C$129</definedName>
    <definedName name="_11_A家事０．５" localSheetId="27">'[1]_11_居宅介護（名前定義）'!$C$129</definedName>
    <definedName name="_11_A家事０．５" localSheetId="25">'[1]_11_居宅介護（名前定義）'!$C$129</definedName>
    <definedName name="_11_A家事０．５">'_11_居宅介護（名前定義）'!$C$129</definedName>
    <definedName name="_11_A家事０．７５" localSheetId="17">'[1]_11_居宅介護（名前定義）'!$C$130</definedName>
    <definedName name="_11_A家事０．７５" localSheetId="15">'[1]_11_居宅介護（名前定義）'!$C$130</definedName>
    <definedName name="_11_A家事０．７５" localSheetId="13">'[1]_11_居宅介護（名前定義）'!$C$130</definedName>
    <definedName name="_11_A家事０．７５" localSheetId="29">'[1]_11_居宅介護（名前定義）'!$C$130</definedName>
    <definedName name="_11_A家事０．７５" localSheetId="27">'[1]_11_居宅介護（名前定義）'!$C$130</definedName>
    <definedName name="_11_A家事０．７５" localSheetId="25">'[1]_11_居宅介護（名前定義）'!$C$130</definedName>
    <definedName name="_11_A家事０．７５">'_11_居宅介護（名前定義）'!$C$130</definedName>
    <definedName name="_11_A家事１．０" localSheetId="17">'[1]_11_居宅介護（名前定義）'!$C$131</definedName>
    <definedName name="_11_A家事１．０" localSheetId="15">'[1]_11_居宅介護（名前定義）'!$C$131</definedName>
    <definedName name="_11_A家事１．０" localSheetId="13">'[1]_11_居宅介護（名前定義）'!$C$131</definedName>
    <definedName name="_11_A家事１．０" localSheetId="29">'[1]_11_居宅介護（名前定義）'!$C$131</definedName>
    <definedName name="_11_A家事１．０" localSheetId="27">'[1]_11_居宅介護（名前定義）'!$C$131</definedName>
    <definedName name="_11_A家事１．０" localSheetId="25">'[1]_11_居宅介護（名前定義）'!$C$131</definedName>
    <definedName name="_11_A家事１．０">'_11_居宅介護（名前定義）'!$C$131</definedName>
    <definedName name="_11_A家事１．２５" localSheetId="17">'[1]_11_居宅介護（名前定義）'!$C$132</definedName>
    <definedName name="_11_A家事１．２５" localSheetId="15">'[1]_11_居宅介護（名前定義）'!$C$132</definedName>
    <definedName name="_11_A家事１．２５" localSheetId="13">'[1]_11_居宅介護（名前定義）'!$C$132</definedName>
    <definedName name="_11_A家事１．２５" localSheetId="29">'[1]_11_居宅介護（名前定義）'!$C$132</definedName>
    <definedName name="_11_A家事１．２５" localSheetId="27">'[1]_11_居宅介護（名前定義）'!$C$132</definedName>
    <definedName name="_11_A家事１．２５" localSheetId="25">'[1]_11_居宅介護（名前定義）'!$C$132</definedName>
    <definedName name="_11_A家事１．２５">'_11_居宅介護（名前定義）'!$C$132</definedName>
    <definedName name="_11_A家事１．５" localSheetId="17">'[1]_11_居宅介護（名前定義）'!$C$133</definedName>
    <definedName name="_11_A家事１．５" localSheetId="15">'[1]_11_居宅介護（名前定義）'!$C$133</definedName>
    <definedName name="_11_A家事１．５" localSheetId="13">'[1]_11_居宅介護（名前定義）'!$C$133</definedName>
    <definedName name="_11_A家事１．５" localSheetId="29">'[1]_11_居宅介護（名前定義）'!$C$133</definedName>
    <definedName name="_11_A家事１．５" localSheetId="27">'[1]_11_居宅介護（名前定義）'!$C$133</definedName>
    <definedName name="_11_A家事１．５" localSheetId="25">'[1]_11_居宅介護（名前定義）'!$C$133</definedName>
    <definedName name="_11_A家事１．５">'_11_居宅介護（名前定義）'!$C$133</definedName>
    <definedName name="_11_A家事１．７５" localSheetId="17">'[1]_11_居宅介護（名前定義）'!$C$134</definedName>
    <definedName name="_11_A家事１．７５" localSheetId="15">'[1]_11_居宅介護（名前定義）'!$C$134</definedName>
    <definedName name="_11_A家事１．７５" localSheetId="13">'[1]_11_居宅介護（名前定義）'!$C$134</definedName>
    <definedName name="_11_A家事１．７５" localSheetId="29">'[1]_11_居宅介護（名前定義）'!$C$134</definedName>
    <definedName name="_11_A家事１．７５" localSheetId="27">'[1]_11_居宅介護（名前定義）'!$C$134</definedName>
    <definedName name="_11_A家事１．７５" localSheetId="25">'[1]_11_居宅介護（名前定義）'!$C$134</definedName>
    <definedName name="_11_A家事１．７５">'_11_居宅介護（名前定義）'!$C$134</definedName>
    <definedName name="_11_A家事１０．０" localSheetId="17">'[1]_11_居宅介護（名前定義）'!$C$167</definedName>
    <definedName name="_11_A家事１０．０" localSheetId="15">'[1]_11_居宅介護（名前定義）'!$C$167</definedName>
    <definedName name="_11_A家事１０．０" localSheetId="13">'[1]_11_居宅介護（名前定義）'!$C$167</definedName>
    <definedName name="_11_A家事１０．０" localSheetId="29">'[1]_11_居宅介護（名前定義）'!$C$167</definedName>
    <definedName name="_11_A家事１０．０" localSheetId="27">'[1]_11_居宅介護（名前定義）'!$C$167</definedName>
    <definedName name="_11_A家事１０．０" localSheetId="25">'[1]_11_居宅介護（名前定義）'!$C$167</definedName>
    <definedName name="_11_A家事１０．０">'_11_居宅介護（名前定義）'!$C$167</definedName>
    <definedName name="_11_A家事１０．２５" localSheetId="17">'[1]_11_居宅介護（名前定義）'!$C$168</definedName>
    <definedName name="_11_A家事１０．２５" localSheetId="15">'[1]_11_居宅介護（名前定義）'!$C$168</definedName>
    <definedName name="_11_A家事１０．２５" localSheetId="13">'[1]_11_居宅介護（名前定義）'!$C$168</definedName>
    <definedName name="_11_A家事１０．２５" localSheetId="29">'[1]_11_居宅介護（名前定義）'!$C$168</definedName>
    <definedName name="_11_A家事１０．２５" localSheetId="27">'[1]_11_居宅介護（名前定義）'!$C$168</definedName>
    <definedName name="_11_A家事１０．２５" localSheetId="25">'[1]_11_居宅介護（名前定義）'!$C$168</definedName>
    <definedName name="_11_A家事１０．２５">'_11_居宅介護（名前定義）'!$C$168</definedName>
    <definedName name="_11_A家事１０．５" localSheetId="17">'[1]_11_居宅介護（名前定義）'!$C$169</definedName>
    <definedName name="_11_A家事１０．５" localSheetId="15">'[1]_11_居宅介護（名前定義）'!$C$169</definedName>
    <definedName name="_11_A家事１０．５" localSheetId="13">'[1]_11_居宅介護（名前定義）'!$C$169</definedName>
    <definedName name="_11_A家事１０．５" localSheetId="29">'[1]_11_居宅介護（名前定義）'!$C$169</definedName>
    <definedName name="_11_A家事１０．５" localSheetId="27">'[1]_11_居宅介護（名前定義）'!$C$169</definedName>
    <definedName name="_11_A家事１０．５" localSheetId="25">'[1]_11_居宅介護（名前定義）'!$C$169</definedName>
    <definedName name="_11_A家事１０．５">'_11_居宅介護（名前定義）'!$C$169</definedName>
    <definedName name="_11_A家事２．０" localSheetId="17">'[1]_11_居宅介護（名前定義）'!$C$135</definedName>
    <definedName name="_11_A家事２．０" localSheetId="15">'[1]_11_居宅介護（名前定義）'!$C$135</definedName>
    <definedName name="_11_A家事２．０" localSheetId="13">'[1]_11_居宅介護（名前定義）'!$C$135</definedName>
    <definedName name="_11_A家事２．０" localSheetId="29">'[1]_11_居宅介護（名前定義）'!$C$135</definedName>
    <definedName name="_11_A家事２．０" localSheetId="27">'[1]_11_居宅介護（名前定義）'!$C$135</definedName>
    <definedName name="_11_A家事２．０" localSheetId="25">'[1]_11_居宅介護（名前定義）'!$C$135</definedName>
    <definedName name="_11_A家事２．０">'_11_居宅介護（名前定義）'!$C$135</definedName>
    <definedName name="_11_A家事２．２５" localSheetId="17">'[1]_11_居宅介護（名前定義）'!$C$136</definedName>
    <definedName name="_11_A家事２．２５" localSheetId="15">'[1]_11_居宅介護（名前定義）'!$C$136</definedName>
    <definedName name="_11_A家事２．２５" localSheetId="13">'[1]_11_居宅介護（名前定義）'!$C$136</definedName>
    <definedName name="_11_A家事２．２５" localSheetId="29">'[1]_11_居宅介護（名前定義）'!$C$136</definedName>
    <definedName name="_11_A家事２．２５" localSheetId="27">'[1]_11_居宅介護（名前定義）'!$C$136</definedName>
    <definedName name="_11_A家事２．２５" localSheetId="25">'[1]_11_居宅介護（名前定義）'!$C$136</definedName>
    <definedName name="_11_A家事２．２５">'_11_居宅介護（名前定義）'!$C$136</definedName>
    <definedName name="_11_A家事２．５" localSheetId="17">'[1]_11_居宅介護（名前定義）'!$C$137</definedName>
    <definedName name="_11_A家事２．５" localSheetId="15">'[1]_11_居宅介護（名前定義）'!$C$137</definedName>
    <definedName name="_11_A家事２．５" localSheetId="13">'[1]_11_居宅介護（名前定義）'!$C$137</definedName>
    <definedName name="_11_A家事２．５" localSheetId="29">'[1]_11_居宅介護（名前定義）'!$C$137</definedName>
    <definedName name="_11_A家事２．５" localSheetId="27">'[1]_11_居宅介護（名前定義）'!$C$137</definedName>
    <definedName name="_11_A家事２．５" localSheetId="25">'[1]_11_居宅介護（名前定義）'!$C$137</definedName>
    <definedName name="_11_A家事２．５">'_11_居宅介護（名前定義）'!$C$137</definedName>
    <definedName name="_11_A家事２．７５" localSheetId="17">'[1]_11_居宅介護（名前定義）'!$C$138</definedName>
    <definedName name="_11_A家事２．７５" localSheetId="15">'[1]_11_居宅介護（名前定義）'!$C$138</definedName>
    <definedName name="_11_A家事２．７５" localSheetId="13">'[1]_11_居宅介護（名前定義）'!$C$138</definedName>
    <definedName name="_11_A家事２．７５" localSheetId="29">'[1]_11_居宅介護（名前定義）'!$C$138</definedName>
    <definedName name="_11_A家事２．７５" localSheetId="27">'[1]_11_居宅介護（名前定義）'!$C$138</definedName>
    <definedName name="_11_A家事２．７５" localSheetId="25">'[1]_11_居宅介護（名前定義）'!$C$138</definedName>
    <definedName name="_11_A家事２．７５">'_11_居宅介護（名前定義）'!$C$138</definedName>
    <definedName name="_11_A家事３．０" localSheetId="17">'[1]_11_居宅介護（名前定義）'!$C$139</definedName>
    <definedName name="_11_A家事３．０" localSheetId="15">'[1]_11_居宅介護（名前定義）'!$C$139</definedName>
    <definedName name="_11_A家事３．０" localSheetId="13">'[1]_11_居宅介護（名前定義）'!$C$139</definedName>
    <definedName name="_11_A家事３．０" localSheetId="29">'[1]_11_居宅介護（名前定義）'!$C$139</definedName>
    <definedName name="_11_A家事３．０" localSheetId="27">'[1]_11_居宅介護（名前定義）'!$C$139</definedName>
    <definedName name="_11_A家事３．０" localSheetId="25">'[1]_11_居宅介護（名前定義）'!$C$139</definedName>
    <definedName name="_11_A家事３．０">'_11_居宅介護（名前定義）'!$C$139</definedName>
    <definedName name="_11_A家事３．２５" localSheetId="17">'[1]_11_居宅介護（名前定義）'!$C$140</definedName>
    <definedName name="_11_A家事３．２５" localSheetId="15">'[1]_11_居宅介護（名前定義）'!$C$140</definedName>
    <definedName name="_11_A家事３．２５" localSheetId="13">'[1]_11_居宅介護（名前定義）'!$C$140</definedName>
    <definedName name="_11_A家事３．２５" localSheetId="29">'[1]_11_居宅介護（名前定義）'!$C$140</definedName>
    <definedName name="_11_A家事３．２５" localSheetId="27">'[1]_11_居宅介護（名前定義）'!$C$140</definedName>
    <definedName name="_11_A家事３．２５" localSheetId="25">'[1]_11_居宅介護（名前定義）'!$C$140</definedName>
    <definedName name="_11_A家事３．２５">'_11_居宅介護（名前定義）'!$C$140</definedName>
    <definedName name="_11_A家事３．５" localSheetId="17">'[1]_11_居宅介護（名前定義）'!$C$141</definedName>
    <definedName name="_11_A家事３．５" localSheetId="15">'[1]_11_居宅介護（名前定義）'!$C$141</definedName>
    <definedName name="_11_A家事３．５" localSheetId="13">'[1]_11_居宅介護（名前定義）'!$C$141</definedName>
    <definedName name="_11_A家事３．５" localSheetId="29">'[1]_11_居宅介護（名前定義）'!$C$141</definedName>
    <definedName name="_11_A家事３．５" localSheetId="27">'[1]_11_居宅介護（名前定義）'!$C$141</definedName>
    <definedName name="_11_A家事３．５" localSheetId="25">'[1]_11_居宅介護（名前定義）'!$C$141</definedName>
    <definedName name="_11_A家事３．５">'_11_居宅介護（名前定義）'!$C$141</definedName>
    <definedName name="_11_A家事３．７５" localSheetId="17">'[1]_11_居宅介護（名前定義）'!$C$142</definedName>
    <definedName name="_11_A家事３．７５" localSheetId="15">'[1]_11_居宅介護（名前定義）'!$C$142</definedName>
    <definedName name="_11_A家事３．７５" localSheetId="13">'[1]_11_居宅介護（名前定義）'!$C$142</definedName>
    <definedName name="_11_A家事３．７５" localSheetId="29">'[1]_11_居宅介護（名前定義）'!$C$142</definedName>
    <definedName name="_11_A家事３．７５" localSheetId="27">'[1]_11_居宅介護（名前定義）'!$C$142</definedName>
    <definedName name="_11_A家事３．７５" localSheetId="25">'[1]_11_居宅介護（名前定義）'!$C$142</definedName>
    <definedName name="_11_A家事３．７５">'_11_居宅介護（名前定義）'!$C$142</definedName>
    <definedName name="_11_A家事４．０" localSheetId="17">'[1]_11_居宅介護（名前定義）'!$C$143</definedName>
    <definedName name="_11_A家事４．０" localSheetId="15">'[1]_11_居宅介護（名前定義）'!$C$143</definedName>
    <definedName name="_11_A家事４．０" localSheetId="13">'[1]_11_居宅介護（名前定義）'!$C$143</definedName>
    <definedName name="_11_A家事４．０" localSheetId="29">'[1]_11_居宅介護（名前定義）'!$C$143</definedName>
    <definedName name="_11_A家事４．０" localSheetId="27">'[1]_11_居宅介護（名前定義）'!$C$143</definedName>
    <definedName name="_11_A家事４．０" localSheetId="25">'[1]_11_居宅介護（名前定義）'!$C$143</definedName>
    <definedName name="_11_A家事４．０">'_11_居宅介護（名前定義）'!$C$143</definedName>
    <definedName name="_11_A家事４．２５" localSheetId="17">'[1]_11_居宅介護（名前定義）'!$C$144</definedName>
    <definedName name="_11_A家事４．２５" localSheetId="15">'[1]_11_居宅介護（名前定義）'!$C$144</definedName>
    <definedName name="_11_A家事４．２５" localSheetId="13">'[1]_11_居宅介護（名前定義）'!$C$144</definedName>
    <definedName name="_11_A家事４．２５" localSheetId="29">'[1]_11_居宅介護（名前定義）'!$C$144</definedName>
    <definedName name="_11_A家事４．２５" localSheetId="27">'[1]_11_居宅介護（名前定義）'!$C$144</definedName>
    <definedName name="_11_A家事４．２５" localSheetId="25">'[1]_11_居宅介護（名前定義）'!$C$144</definedName>
    <definedName name="_11_A家事４．２５">'_11_居宅介護（名前定義）'!$C$144</definedName>
    <definedName name="_11_A家事４．５" localSheetId="17">'[1]_11_居宅介護（名前定義）'!$C$145</definedName>
    <definedName name="_11_A家事４．５" localSheetId="15">'[1]_11_居宅介護（名前定義）'!$C$145</definedName>
    <definedName name="_11_A家事４．５" localSheetId="13">'[1]_11_居宅介護（名前定義）'!$C$145</definedName>
    <definedName name="_11_A家事４．５" localSheetId="29">'[1]_11_居宅介護（名前定義）'!$C$145</definedName>
    <definedName name="_11_A家事４．５" localSheetId="27">'[1]_11_居宅介護（名前定義）'!$C$145</definedName>
    <definedName name="_11_A家事４．５" localSheetId="25">'[1]_11_居宅介護（名前定義）'!$C$145</definedName>
    <definedName name="_11_A家事４．５">'_11_居宅介護（名前定義）'!$C$145</definedName>
    <definedName name="_11_A家事４．７５" localSheetId="17">'[1]_11_居宅介護（名前定義）'!$C$146</definedName>
    <definedName name="_11_A家事４．７５" localSheetId="15">'[1]_11_居宅介護（名前定義）'!$C$146</definedName>
    <definedName name="_11_A家事４．７５" localSheetId="13">'[1]_11_居宅介護（名前定義）'!$C$146</definedName>
    <definedName name="_11_A家事４．７５" localSheetId="29">'[1]_11_居宅介護（名前定義）'!$C$146</definedName>
    <definedName name="_11_A家事４．７５" localSheetId="27">'[1]_11_居宅介護（名前定義）'!$C$146</definedName>
    <definedName name="_11_A家事４．７５" localSheetId="25">'[1]_11_居宅介護（名前定義）'!$C$146</definedName>
    <definedName name="_11_A家事４．７５">'_11_居宅介護（名前定義）'!$C$146</definedName>
    <definedName name="_11_A家事５．０" localSheetId="17">'[1]_11_居宅介護（名前定義）'!$C$147</definedName>
    <definedName name="_11_A家事５．０" localSheetId="15">'[1]_11_居宅介護（名前定義）'!$C$147</definedName>
    <definedName name="_11_A家事５．０" localSheetId="13">'[1]_11_居宅介護（名前定義）'!$C$147</definedName>
    <definedName name="_11_A家事５．０" localSheetId="29">'[1]_11_居宅介護（名前定義）'!$C$147</definedName>
    <definedName name="_11_A家事５．０" localSheetId="27">'[1]_11_居宅介護（名前定義）'!$C$147</definedName>
    <definedName name="_11_A家事５．０" localSheetId="25">'[1]_11_居宅介護（名前定義）'!$C$147</definedName>
    <definedName name="_11_A家事５．０">'_11_居宅介護（名前定義）'!$C$147</definedName>
    <definedName name="_11_A家事５．２５" localSheetId="17">'[1]_11_居宅介護（名前定義）'!$C$148</definedName>
    <definedName name="_11_A家事５．２５" localSheetId="15">'[1]_11_居宅介護（名前定義）'!$C$148</definedName>
    <definedName name="_11_A家事５．２５" localSheetId="13">'[1]_11_居宅介護（名前定義）'!$C$148</definedName>
    <definedName name="_11_A家事５．２５" localSheetId="29">'[1]_11_居宅介護（名前定義）'!$C$148</definedName>
    <definedName name="_11_A家事５．２５" localSheetId="27">'[1]_11_居宅介護（名前定義）'!$C$148</definedName>
    <definedName name="_11_A家事５．２５" localSheetId="25">'[1]_11_居宅介護（名前定義）'!$C$148</definedName>
    <definedName name="_11_A家事５．２５">'_11_居宅介護（名前定義）'!$C$148</definedName>
    <definedName name="_11_A家事５．５" localSheetId="17">'[1]_11_居宅介護（名前定義）'!$C$149</definedName>
    <definedName name="_11_A家事５．５" localSheetId="15">'[1]_11_居宅介護（名前定義）'!$C$149</definedName>
    <definedName name="_11_A家事５．５" localSheetId="13">'[1]_11_居宅介護（名前定義）'!$C$149</definedName>
    <definedName name="_11_A家事５．５" localSheetId="29">'[1]_11_居宅介護（名前定義）'!$C$149</definedName>
    <definedName name="_11_A家事５．５" localSheetId="27">'[1]_11_居宅介護（名前定義）'!$C$149</definedName>
    <definedName name="_11_A家事５．５" localSheetId="25">'[1]_11_居宅介護（名前定義）'!$C$149</definedName>
    <definedName name="_11_A家事５．５">'_11_居宅介護（名前定義）'!$C$149</definedName>
    <definedName name="_11_A家事５．７５" localSheetId="17">'[1]_11_居宅介護（名前定義）'!$C$150</definedName>
    <definedName name="_11_A家事５．７５" localSheetId="15">'[1]_11_居宅介護（名前定義）'!$C$150</definedName>
    <definedName name="_11_A家事５．７５" localSheetId="13">'[1]_11_居宅介護（名前定義）'!$C$150</definedName>
    <definedName name="_11_A家事５．７５" localSheetId="29">'[1]_11_居宅介護（名前定義）'!$C$150</definedName>
    <definedName name="_11_A家事５．７５" localSheetId="27">'[1]_11_居宅介護（名前定義）'!$C$150</definedName>
    <definedName name="_11_A家事５．７５" localSheetId="25">'[1]_11_居宅介護（名前定義）'!$C$150</definedName>
    <definedName name="_11_A家事５．７５">'_11_居宅介護（名前定義）'!$C$150</definedName>
    <definedName name="_11_A家事６．０" localSheetId="17">'[1]_11_居宅介護（名前定義）'!$C$151</definedName>
    <definedName name="_11_A家事６．０" localSheetId="15">'[1]_11_居宅介護（名前定義）'!$C$151</definedName>
    <definedName name="_11_A家事６．０" localSheetId="13">'[1]_11_居宅介護（名前定義）'!$C$151</definedName>
    <definedName name="_11_A家事６．０" localSheetId="29">'[1]_11_居宅介護（名前定義）'!$C$151</definedName>
    <definedName name="_11_A家事６．０" localSheetId="27">'[1]_11_居宅介護（名前定義）'!$C$151</definedName>
    <definedName name="_11_A家事６．０" localSheetId="25">'[1]_11_居宅介護（名前定義）'!$C$151</definedName>
    <definedName name="_11_A家事６．０">'_11_居宅介護（名前定義）'!$C$151</definedName>
    <definedName name="_11_A家事６．２５" localSheetId="17">'[1]_11_居宅介護（名前定義）'!$C$152</definedName>
    <definedName name="_11_A家事６．２５" localSheetId="15">'[1]_11_居宅介護（名前定義）'!$C$152</definedName>
    <definedName name="_11_A家事６．２５" localSheetId="13">'[1]_11_居宅介護（名前定義）'!$C$152</definedName>
    <definedName name="_11_A家事６．２５" localSheetId="29">'[1]_11_居宅介護（名前定義）'!$C$152</definedName>
    <definedName name="_11_A家事６．２５" localSheetId="27">'[1]_11_居宅介護（名前定義）'!$C$152</definedName>
    <definedName name="_11_A家事６．２５" localSheetId="25">'[1]_11_居宅介護（名前定義）'!$C$152</definedName>
    <definedName name="_11_A家事６．２５">'_11_居宅介護（名前定義）'!$C$152</definedName>
    <definedName name="_11_A家事６．５" localSheetId="17">'[1]_11_居宅介護（名前定義）'!$C$153</definedName>
    <definedName name="_11_A家事６．５" localSheetId="15">'[1]_11_居宅介護（名前定義）'!$C$153</definedName>
    <definedName name="_11_A家事６．５" localSheetId="13">'[1]_11_居宅介護（名前定義）'!$C$153</definedName>
    <definedName name="_11_A家事６．５" localSheetId="29">'[1]_11_居宅介護（名前定義）'!$C$153</definedName>
    <definedName name="_11_A家事６．５" localSheetId="27">'[1]_11_居宅介護（名前定義）'!$C$153</definedName>
    <definedName name="_11_A家事６．５" localSheetId="25">'[1]_11_居宅介護（名前定義）'!$C$153</definedName>
    <definedName name="_11_A家事６．５">'_11_居宅介護（名前定義）'!$C$153</definedName>
    <definedName name="_11_A家事６．７５" localSheetId="17">'[1]_11_居宅介護（名前定義）'!$C$154</definedName>
    <definedName name="_11_A家事６．７５" localSheetId="15">'[1]_11_居宅介護（名前定義）'!$C$154</definedName>
    <definedName name="_11_A家事６．７５" localSheetId="13">'[1]_11_居宅介護（名前定義）'!$C$154</definedName>
    <definedName name="_11_A家事６．７５" localSheetId="29">'[1]_11_居宅介護（名前定義）'!$C$154</definedName>
    <definedName name="_11_A家事６．７５" localSheetId="27">'[1]_11_居宅介護（名前定義）'!$C$154</definedName>
    <definedName name="_11_A家事６．７５" localSheetId="25">'[1]_11_居宅介護（名前定義）'!$C$154</definedName>
    <definedName name="_11_A家事６．７５">'_11_居宅介護（名前定義）'!$C$154</definedName>
    <definedName name="_11_A家事７．０" localSheetId="17">'[1]_11_居宅介護（名前定義）'!$C$155</definedName>
    <definedName name="_11_A家事７．０" localSheetId="15">'[1]_11_居宅介護（名前定義）'!$C$155</definedName>
    <definedName name="_11_A家事７．０" localSheetId="13">'[1]_11_居宅介護（名前定義）'!$C$155</definedName>
    <definedName name="_11_A家事７．０" localSheetId="29">'[1]_11_居宅介護（名前定義）'!$C$155</definedName>
    <definedName name="_11_A家事７．０" localSheetId="27">'[1]_11_居宅介護（名前定義）'!$C$155</definedName>
    <definedName name="_11_A家事７．０" localSheetId="25">'[1]_11_居宅介護（名前定義）'!$C$155</definedName>
    <definedName name="_11_A家事７．０">'_11_居宅介護（名前定義）'!$C$155</definedName>
    <definedName name="_11_A家事７．２５" localSheetId="17">'[1]_11_居宅介護（名前定義）'!$C$156</definedName>
    <definedName name="_11_A家事７．２５" localSheetId="15">'[1]_11_居宅介護（名前定義）'!$C$156</definedName>
    <definedName name="_11_A家事７．２５" localSheetId="13">'[1]_11_居宅介護（名前定義）'!$C$156</definedName>
    <definedName name="_11_A家事７．２５" localSheetId="29">'[1]_11_居宅介護（名前定義）'!$C$156</definedName>
    <definedName name="_11_A家事７．２５" localSheetId="27">'[1]_11_居宅介護（名前定義）'!$C$156</definedName>
    <definedName name="_11_A家事７．２５" localSheetId="25">'[1]_11_居宅介護（名前定義）'!$C$156</definedName>
    <definedName name="_11_A家事７．２５">'_11_居宅介護（名前定義）'!$C$156</definedName>
    <definedName name="_11_A家事７．５" localSheetId="17">'[1]_11_居宅介護（名前定義）'!$C$157</definedName>
    <definedName name="_11_A家事７．５" localSheetId="15">'[1]_11_居宅介護（名前定義）'!$C$157</definedName>
    <definedName name="_11_A家事７．５" localSheetId="13">'[1]_11_居宅介護（名前定義）'!$C$157</definedName>
    <definedName name="_11_A家事７．５" localSheetId="29">'[1]_11_居宅介護（名前定義）'!$C$157</definedName>
    <definedName name="_11_A家事７．５" localSheetId="27">'[1]_11_居宅介護（名前定義）'!$C$157</definedName>
    <definedName name="_11_A家事７．５" localSheetId="25">'[1]_11_居宅介護（名前定義）'!$C$157</definedName>
    <definedName name="_11_A家事７．５">'_11_居宅介護（名前定義）'!$C$157</definedName>
    <definedName name="_11_A家事７．７５" localSheetId="17">'[1]_11_居宅介護（名前定義）'!$C$158</definedName>
    <definedName name="_11_A家事７．７５" localSheetId="15">'[1]_11_居宅介護（名前定義）'!$C$158</definedName>
    <definedName name="_11_A家事７．７５" localSheetId="13">'[1]_11_居宅介護（名前定義）'!$C$158</definedName>
    <definedName name="_11_A家事７．７５" localSheetId="29">'[1]_11_居宅介護（名前定義）'!$C$158</definedName>
    <definedName name="_11_A家事７．７５" localSheetId="27">'[1]_11_居宅介護（名前定義）'!$C$158</definedName>
    <definedName name="_11_A家事７．７５" localSheetId="25">'[1]_11_居宅介護（名前定義）'!$C$158</definedName>
    <definedName name="_11_A家事７．７５">'_11_居宅介護（名前定義）'!$C$158</definedName>
    <definedName name="_11_A家事８．０" localSheetId="17">'[1]_11_居宅介護（名前定義）'!$C$159</definedName>
    <definedName name="_11_A家事８．０" localSheetId="15">'[1]_11_居宅介護（名前定義）'!$C$159</definedName>
    <definedName name="_11_A家事８．０" localSheetId="13">'[1]_11_居宅介護（名前定義）'!$C$159</definedName>
    <definedName name="_11_A家事８．０" localSheetId="29">'[1]_11_居宅介護（名前定義）'!$C$159</definedName>
    <definedName name="_11_A家事８．０" localSheetId="27">'[1]_11_居宅介護（名前定義）'!$C$159</definedName>
    <definedName name="_11_A家事８．０" localSheetId="25">'[1]_11_居宅介護（名前定義）'!$C$159</definedName>
    <definedName name="_11_A家事８．０">'_11_居宅介護（名前定義）'!$C$159</definedName>
    <definedName name="_11_A家事８．２５" localSheetId="17">'[1]_11_居宅介護（名前定義）'!$C$160</definedName>
    <definedName name="_11_A家事８．２５" localSheetId="15">'[1]_11_居宅介護（名前定義）'!$C$160</definedName>
    <definedName name="_11_A家事８．２５" localSheetId="13">'[1]_11_居宅介護（名前定義）'!$C$160</definedName>
    <definedName name="_11_A家事８．２５" localSheetId="29">'[1]_11_居宅介護（名前定義）'!$C$160</definedName>
    <definedName name="_11_A家事８．２５" localSheetId="27">'[1]_11_居宅介護（名前定義）'!$C$160</definedName>
    <definedName name="_11_A家事８．２５" localSheetId="25">'[1]_11_居宅介護（名前定義）'!$C$160</definedName>
    <definedName name="_11_A家事８．２５">'_11_居宅介護（名前定義）'!$C$160</definedName>
    <definedName name="_11_A家事８．５" localSheetId="17">'[1]_11_居宅介護（名前定義）'!$C$161</definedName>
    <definedName name="_11_A家事８．５" localSheetId="15">'[1]_11_居宅介護（名前定義）'!$C$161</definedName>
    <definedName name="_11_A家事８．５" localSheetId="13">'[1]_11_居宅介護（名前定義）'!$C$161</definedName>
    <definedName name="_11_A家事８．５" localSheetId="29">'[1]_11_居宅介護（名前定義）'!$C$161</definedName>
    <definedName name="_11_A家事８．５" localSheetId="27">'[1]_11_居宅介護（名前定義）'!$C$161</definedName>
    <definedName name="_11_A家事８．５" localSheetId="25">'[1]_11_居宅介護（名前定義）'!$C$161</definedName>
    <definedName name="_11_A家事８．５">'_11_居宅介護（名前定義）'!$C$161</definedName>
    <definedName name="_11_A家事８．７５" localSheetId="17">'[1]_11_居宅介護（名前定義）'!$C$162</definedName>
    <definedName name="_11_A家事８．７５" localSheetId="15">'[1]_11_居宅介護（名前定義）'!$C$162</definedName>
    <definedName name="_11_A家事８．７５" localSheetId="13">'[1]_11_居宅介護（名前定義）'!$C$162</definedName>
    <definedName name="_11_A家事８．７５" localSheetId="29">'[1]_11_居宅介護（名前定義）'!$C$162</definedName>
    <definedName name="_11_A家事８．７５" localSheetId="27">'[1]_11_居宅介護（名前定義）'!$C$162</definedName>
    <definedName name="_11_A家事８．７５" localSheetId="25">'[1]_11_居宅介護（名前定義）'!$C$162</definedName>
    <definedName name="_11_A家事８．７５">'_11_居宅介護（名前定義）'!$C$162</definedName>
    <definedName name="_11_A家事９．０" localSheetId="17">'[1]_11_居宅介護（名前定義）'!$C$163</definedName>
    <definedName name="_11_A家事９．０" localSheetId="15">'[1]_11_居宅介護（名前定義）'!$C$163</definedName>
    <definedName name="_11_A家事９．０" localSheetId="13">'[1]_11_居宅介護（名前定義）'!$C$163</definedName>
    <definedName name="_11_A家事９．０" localSheetId="29">'[1]_11_居宅介護（名前定義）'!$C$163</definedName>
    <definedName name="_11_A家事９．０" localSheetId="27">'[1]_11_居宅介護（名前定義）'!$C$163</definedName>
    <definedName name="_11_A家事９．０" localSheetId="25">'[1]_11_居宅介護（名前定義）'!$C$163</definedName>
    <definedName name="_11_A家事９．０">'_11_居宅介護（名前定義）'!$C$163</definedName>
    <definedName name="_11_A家事９．２５" localSheetId="17">'[1]_11_居宅介護（名前定義）'!$C$164</definedName>
    <definedName name="_11_A家事９．２５" localSheetId="15">'[1]_11_居宅介護（名前定義）'!$C$164</definedName>
    <definedName name="_11_A家事９．２５" localSheetId="13">'[1]_11_居宅介護（名前定義）'!$C$164</definedName>
    <definedName name="_11_A家事９．２５" localSheetId="29">'[1]_11_居宅介護（名前定義）'!$C$164</definedName>
    <definedName name="_11_A家事９．２５" localSheetId="27">'[1]_11_居宅介護（名前定義）'!$C$164</definedName>
    <definedName name="_11_A家事９．２５" localSheetId="25">'[1]_11_居宅介護（名前定義）'!$C$164</definedName>
    <definedName name="_11_A家事９．２５">'_11_居宅介護（名前定義）'!$C$164</definedName>
    <definedName name="_11_A家事９．５" localSheetId="17">'[1]_11_居宅介護（名前定義）'!$C$165</definedName>
    <definedName name="_11_A家事９．５" localSheetId="15">'[1]_11_居宅介護（名前定義）'!$C$165</definedName>
    <definedName name="_11_A家事９．５" localSheetId="13">'[1]_11_居宅介護（名前定義）'!$C$165</definedName>
    <definedName name="_11_A家事９．５" localSheetId="29">'[1]_11_居宅介護（名前定義）'!$C$165</definedName>
    <definedName name="_11_A家事９．５" localSheetId="27">'[1]_11_居宅介護（名前定義）'!$C$165</definedName>
    <definedName name="_11_A家事９．５" localSheetId="25">'[1]_11_居宅介護（名前定義）'!$C$165</definedName>
    <definedName name="_11_A家事９．５">'_11_居宅介護（名前定義）'!$C$165</definedName>
    <definedName name="_11_A家事９．７５" localSheetId="17">'[1]_11_居宅介護（名前定義）'!$C$166</definedName>
    <definedName name="_11_A家事９．７５" localSheetId="15">'[1]_11_居宅介護（名前定義）'!$C$166</definedName>
    <definedName name="_11_A家事９．７５" localSheetId="13">'[1]_11_居宅介護（名前定義）'!$C$166</definedName>
    <definedName name="_11_A家事９．７５" localSheetId="29">'[1]_11_居宅介護（名前定義）'!$C$166</definedName>
    <definedName name="_11_A家事９．７５" localSheetId="27">'[1]_11_居宅介護（名前定義）'!$C$166</definedName>
    <definedName name="_11_A家事９．７５" localSheetId="25">'[1]_11_居宅介護（名前定義）'!$C$166</definedName>
    <definedName name="_11_A家事９．７５">'_11_居宅介護（名前定義）'!$C$166</definedName>
    <definedName name="_11_A家事増０．２５" localSheetId="17">'[1]_11_居宅介護（名前定義）'!$C$170</definedName>
    <definedName name="_11_A家事増０．２５" localSheetId="15">'[1]_11_居宅介護（名前定義）'!$C$170</definedName>
    <definedName name="_11_A家事増０．２５" localSheetId="13">'[1]_11_居宅介護（名前定義）'!$C$170</definedName>
    <definedName name="_11_A家事増０．２５" localSheetId="29">'[1]_11_居宅介護（名前定義）'!$C$170</definedName>
    <definedName name="_11_A家事増０．２５" localSheetId="27">'[1]_11_居宅介護（名前定義）'!$C$170</definedName>
    <definedName name="_11_A家事増０．２５" localSheetId="25">'[1]_11_居宅介護（名前定義）'!$C$170</definedName>
    <definedName name="_11_A家事増０．２５">'_11_居宅介護（名前定義）'!$C$170</definedName>
    <definedName name="_11_A家事増０．２５_補正">'[1]_11_居宅介護（名前定義）'!$C$449</definedName>
    <definedName name="_11_A家事増０．５" localSheetId="17">'[1]_11_居宅介護（名前定義）'!$C$171</definedName>
    <definedName name="_11_A家事増０．５" localSheetId="15">'[1]_11_居宅介護（名前定義）'!$C$171</definedName>
    <definedName name="_11_A家事増０．５" localSheetId="13">'[1]_11_居宅介護（名前定義）'!$C$171</definedName>
    <definedName name="_11_A家事増０．５" localSheetId="29">'[1]_11_居宅介護（名前定義）'!$C$171</definedName>
    <definedName name="_11_A家事増０．５" localSheetId="27">'[1]_11_居宅介護（名前定義）'!$C$171</definedName>
    <definedName name="_11_A家事増０．５" localSheetId="25">'[1]_11_居宅介護（名前定義）'!$C$171</definedName>
    <definedName name="_11_A家事増０．５">'_11_居宅介護（名前定義）'!$C$171</definedName>
    <definedName name="_11_A家事増０．５_補正">'[1]_11_居宅介護（名前定義）'!$C$450</definedName>
    <definedName name="_11_A家事増０．７５" localSheetId="17">'[1]_11_居宅介護（名前定義）'!$C$172</definedName>
    <definedName name="_11_A家事増０．７５" localSheetId="15">'[1]_11_居宅介護（名前定義）'!$C$172</definedName>
    <definedName name="_11_A家事増０．７５" localSheetId="13">'[1]_11_居宅介護（名前定義）'!$C$172</definedName>
    <definedName name="_11_A家事増０．７５" localSheetId="29">'[1]_11_居宅介護（名前定義）'!$C$172</definedName>
    <definedName name="_11_A家事増０．７５" localSheetId="27">'[1]_11_居宅介護（名前定義）'!$C$172</definedName>
    <definedName name="_11_A家事増０．７５" localSheetId="25">'[1]_11_居宅介護（名前定義）'!$C$172</definedName>
    <definedName name="_11_A家事増０．７５">'_11_居宅介護（名前定義）'!$C$172</definedName>
    <definedName name="_11_A家事増０．７５_補正">'[1]_11_居宅介護（名前定義）'!$C$451</definedName>
    <definedName name="_11_A家事増１．０" localSheetId="17">'[1]_11_居宅介護（名前定義）'!$C$173</definedName>
    <definedName name="_11_A家事増１．０" localSheetId="15">'[1]_11_居宅介護（名前定義）'!$C$173</definedName>
    <definedName name="_11_A家事増１．０" localSheetId="13">'[1]_11_居宅介護（名前定義）'!$C$173</definedName>
    <definedName name="_11_A家事増１．０" localSheetId="29">'[1]_11_居宅介護（名前定義）'!$C$173</definedName>
    <definedName name="_11_A家事増１．０" localSheetId="27">'[1]_11_居宅介護（名前定義）'!$C$173</definedName>
    <definedName name="_11_A家事増１．０" localSheetId="25">'[1]_11_居宅介護（名前定義）'!$C$173</definedName>
    <definedName name="_11_A家事増１．０">'_11_居宅介護（名前定義）'!$C$173</definedName>
    <definedName name="_11_A家事増１．０_補正">'[1]_11_居宅介護（名前定義）'!$C$452</definedName>
    <definedName name="_11_A家事増１．２５" localSheetId="17">'[1]_11_居宅介護（名前定義）'!$C$174</definedName>
    <definedName name="_11_A家事増１．２５" localSheetId="15">'[1]_11_居宅介護（名前定義）'!$C$174</definedName>
    <definedName name="_11_A家事増１．２５" localSheetId="13">'[1]_11_居宅介護（名前定義）'!$C$174</definedName>
    <definedName name="_11_A家事増１．２５" localSheetId="29">'[1]_11_居宅介護（名前定義）'!$C$174</definedName>
    <definedName name="_11_A家事増１．２５" localSheetId="27">'[1]_11_居宅介護（名前定義）'!$C$174</definedName>
    <definedName name="_11_A家事増１．２５" localSheetId="25">'[1]_11_居宅介護（名前定義）'!$C$174</definedName>
    <definedName name="_11_A家事増１．２５">'_11_居宅介護（名前定義）'!$C$174</definedName>
    <definedName name="_11_A家事増１．２５_補正">'[1]_11_居宅介護（名前定義）'!$C$453</definedName>
    <definedName name="_11_A家事増１．５" localSheetId="17">'[1]_11_居宅介護（名前定義）'!$C$175</definedName>
    <definedName name="_11_A家事増１．５" localSheetId="15">'[1]_11_居宅介護（名前定義）'!$C$175</definedName>
    <definedName name="_11_A家事増１．５" localSheetId="13">'[1]_11_居宅介護（名前定義）'!$C$175</definedName>
    <definedName name="_11_A家事増１．５" localSheetId="29">'[1]_11_居宅介護（名前定義）'!$C$175</definedName>
    <definedName name="_11_A家事増１．５" localSheetId="27">'[1]_11_居宅介護（名前定義）'!$C$175</definedName>
    <definedName name="_11_A家事増１．５" localSheetId="25">'[1]_11_居宅介護（名前定義）'!$C$175</definedName>
    <definedName name="_11_A家事増１．５">'_11_居宅介護（名前定義）'!$C$175</definedName>
    <definedName name="_11_A家事増１．５_補正">'[1]_11_居宅介護（名前定義）'!$C$454</definedName>
    <definedName name="_11_A家事増１．７５" localSheetId="17">'[1]_11_居宅介護（名前定義）'!$C$176</definedName>
    <definedName name="_11_A家事増１．７５" localSheetId="15">'[1]_11_居宅介護（名前定義）'!$C$176</definedName>
    <definedName name="_11_A家事増１．７５" localSheetId="13">'[1]_11_居宅介護（名前定義）'!$C$176</definedName>
    <definedName name="_11_A家事増１．７５" localSheetId="29">'[1]_11_居宅介護（名前定義）'!$C$176</definedName>
    <definedName name="_11_A家事増１．７５" localSheetId="27">'[1]_11_居宅介護（名前定義）'!$C$176</definedName>
    <definedName name="_11_A家事増１．７５" localSheetId="25">'[1]_11_居宅介護（名前定義）'!$C$176</definedName>
    <definedName name="_11_A家事増１．７５">'_11_居宅介護（名前定義）'!$C$176</definedName>
    <definedName name="_11_A家事増１．７５_補正">'[1]_11_居宅介護（名前定義）'!$C$455</definedName>
    <definedName name="_11_A家事増１０．０" localSheetId="17">'[1]_11_居宅介護（名前定義）'!$C$209</definedName>
    <definedName name="_11_A家事増１０．０" localSheetId="15">'[1]_11_居宅介護（名前定義）'!$C$209</definedName>
    <definedName name="_11_A家事増１０．０" localSheetId="13">'[1]_11_居宅介護（名前定義）'!$C$209</definedName>
    <definedName name="_11_A家事増１０．０" localSheetId="29">'[1]_11_居宅介護（名前定義）'!$C$209</definedName>
    <definedName name="_11_A家事増１０．０" localSheetId="27">'[1]_11_居宅介護（名前定義）'!$C$209</definedName>
    <definedName name="_11_A家事増１０．０" localSheetId="25">'[1]_11_居宅介護（名前定義）'!$C$209</definedName>
    <definedName name="_11_A家事増１０．０">'_11_居宅介護（名前定義）'!$C$209</definedName>
    <definedName name="_11_A家事増１０．０_補正">'[1]_11_居宅介護（名前定義）'!$C$488</definedName>
    <definedName name="_11_A家事増１０．２５" localSheetId="17">'[1]_11_居宅介護（名前定義）'!$C$210</definedName>
    <definedName name="_11_A家事増１０．２５" localSheetId="15">'[1]_11_居宅介護（名前定義）'!$C$210</definedName>
    <definedName name="_11_A家事増１０．２５" localSheetId="13">'[1]_11_居宅介護（名前定義）'!$C$210</definedName>
    <definedName name="_11_A家事増１０．２５" localSheetId="29">'[1]_11_居宅介護（名前定義）'!$C$210</definedName>
    <definedName name="_11_A家事増１０．２５" localSheetId="27">'[1]_11_居宅介護（名前定義）'!$C$210</definedName>
    <definedName name="_11_A家事増１０．２５" localSheetId="25">'[1]_11_居宅介護（名前定義）'!$C$210</definedName>
    <definedName name="_11_A家事増１０．２５">'_11_居宅介護（名前定義）'!$C$210</definedName>
    <definedName name="_11_A家事増１０．２５_補正">'[1]_11_居宅介護（名前定義）'!$C$489</definedName>
    <definedName name="_11_A家事増１０．５" localSheetId="17">'[1]_11_居宅介護（名前定義）'!$C$211</definedName>
    <definedName name="_11_A家事増１０．５" localSheetId="15">'[1]_11_居宅介護（名前定義）'!$C$211</definedName>
    <definedName name="_11_A家事増１０．５" localSheetId="13">'[1]_11_居宅介護（名前定義）'!$C$211</definedName>
    <definedName name="_11_A家事増１０．５" localSheetId="29">'[1]_11_居宅介護（名前定義）'!$C$211</definedName>
    <definedName name="_11_A家事増１０．５" localSheetId="27">'[1]_11_居宅介護（名前定義）'!$C$211</definedName>
    <definedName name="_11_A家事増１０．５" localSheetId="25">'[1]_11_居宅介護（名前定義）'!$C$211</definedName>
    <definedName name="_11_A家事増１０．５">'_11_居宅介護（名前定義）'!$C$211</definedName>
    <definedName name="_11_A家事増１０．５_補正">'[1]_11_居宅介護（名前定義）'!$C$490</definedName>
    <definedName name="_11_A家事増２．０" localSheetId="17">'[1]_11_居宅介護（名前定義）'!$C$177</definedName>
    <definedName name="_11_A家事増２．０" localSheetId="15">'[1]_11_居宅介護（名前定義）'!$C$177</definedName>
    <definedName name="_11_A家事増２．０" localSheetId="13">'[1]_11_居宅介護（名前定義）'!$C$177</definedName>
    <definedName name="_11_A家事増２．０" localSheetId="29">'[1]_11_居宅介護（名前定義）'!$C$177</definedName>
    <definedName name="_11_A家事増２．０" localSheetId="27">'[1]_11_居宅介護（名前定義）'!$C$177</definedName>
    <definedName name="_11_A家事増２．０" localSheetId="25">'[1]_11_居宅介護（名前定義）'!$C$177</definedName>
    <definedName name="_11_A家事増２．０">'_11_居宅介護（名前定義）'!$C$177</definedName>
    <definedName name="_11_A家事増２．０_補正">'[1]_11_居宅介護（名前定義）'!$C$456</definedName>
    <definedName name="_11_A家事増２．２５" localSheetId="17">'[1]_11_居宅介護（名前定義）'!$C$178</definedName>
    <definedName name="_11_A家事増２．２５" localSheetId="15">'[1]_11_居宅介護（名前定義）'!$C$178</definedName>
    <definedName name="_11_A家事増２．２５" localSheetId="13">'[1]_11_居宅介護（名前定義）'!$C$178</definedName>
    <definedName name="_11_A家事増２．２５" localSheetId="29">'[1]_11_居宅介護（名前定義）'!$C$178</definedName>
    <definedName name="_11_A家事増２．２５" localSheetId="27">'[1]_11_居宅介護（名前定義）'!$C$178</definedName>
    <definedName name="_11_A家事増２．２５" localSheetId="25">'[1]_11_居宅介護（名前定義）'!$C$178</definedName>
    <definedName name="_11_A家事増２．２５">'_11_居宅介護（名前定義）'!$C$178</definedName>
    <definedName name="_11_A家事増２．２５_補正">'[1]_11_居宅介護（名前定義）'!$C$457</definedName>
    <definedName name="_11_A家事増２．５" localSheetId="17">'[1]_11_居宅介護（名前定義）'!$C$179</definedName>
    <definedName name="_11_A家事増２．５" localSheetId="15">'[1]_11_居宅介護（名前定義）'!$C$179</definedName>
    <definedName name="_11_A家事増２．５" localSheetId="13">'[1]_11_居宅介護（名前定義）'!$C$179</definedName>
    <definedName name="_11_A家事増２．５" localSheetId="29">'[1]_11_居宅介護（名前定義）'!$C$179</definedName>
    <definedName name="_11_A家事増２．５" localSheetId="27">'[1]_11_居宅介護（名前定義）'!$C$179</definedName>
    <definedName name="_11_A家事増２．５" localSheetId="25">'[1]_11_居宅介護（名前定義）'!$C$179</definedName>
    <definedName name="_11_A家事増２．５">'_11_居宅介護（名前定義）'!$C$179</definedName>
    <definedName name="_11_A家事増２．５_補正">'[1]_11_居宅介護（名前定義）'!$C$458</definedName>
    <definedName name="_11_A家事増２．７５" localSheetId="17">'[1]_11_居宅介護（名前定義）'!$C$180</definedName>
    <definedName name="_11_A家事増２．７５" localSheetId="15">'[1]_11_居宅介護（名前定義）'!$C$180</definedName>
    <definedName name="_11_A家事増２．７５" localSheetId="13">'[1]_11_居宅介護（名前定義）'!$C$180</definedName>
    <definedName name="_11_A家事増２．７５" localSheetId="29">'[1]_11_居宅介護（名前定義）'!$C$180</definedName>
    <definedName name="_11_A家事増２．７５" localSheetId="27">'[1]_11_居宅介護（名前定義）'!$C$180</definedName>
    <definedName name="_11_A家事増２．７５" localSheetId="25">'[1]_11_居宅介護（名前定義）'!$C$180</definedName>
    <definedName name="_11_A家事増２．７５">'_11_居宅介護（名前定義）'!$C$180</definedName>
    <definedName name="_11_A家事増２．７５_補正">'[1]_11_居宅介護（名前定義）'!$C$459</definedName>
    <definedName name="_11_A家事増３．０" localSheetId="17">'[1]_11_居宅介護（名前定義）'!$C$181</definedName>
    <definedName name="_11_A家事増３．０" localSheetId="15">'[1]_11_居宅介護（名前定義）'!$C$181</definedName>
    <definedName name="_11_A家事増３．０" localSheetId="13">'[1]_11_居宅介護（名前定義）'!$C$181</definedName>
    <definedName name="_11_A家事増３．０" localSheetId="29">'[1]_11_居宅介護（名前定義）'!$C$181</definedName>
    <definedName name="_11_A家事増３．０" localSheetId="27">'[1]_11_居宅介護（名前定義）'!$C$181</definedName>
    <definedName name="_11_A家事増３．０" localSheetId="25">'[1]_11_居宅介護（名前定義）'!$C$181</definedName>
    <definedName name="_11_A家事増３．０">'_11_居宅介護（名前定義）'!$C$181</definedName>
    <definedName name="_11_A家事増３．０_補正">'[1]_11_居宅介護（名前定義）'!$C$460</definedName>
    <definedName name="_11_A家事増３．２５" localSheetId="17">'[1]_11_居宅介護（名前定義）'!$C$182</definedName>
    <definedName name="_11_A家事増３．２５" localSheetId="15">'[1]_11_居宅介護（名前定義）'!$C$182</definedName>
    <definedName name="_11_A家事増３．２５" localSheetId="13">'[1]_11_居宅介護（名前定義）'!$C$182</definedName>
    <definedName name="_11_A家事増３．２５" localSheetId="29">'[1]_11_居宅介護（名前定義）'!$C$182</definedName>
    <definedName name="_11_A家事増３．２５" localSheetId="27">'[1]_11_居宅介護（名前定義）'!$C$182</definedName>
    <definedName name="_11_A家事増３．２５" localSheetId="25">'[1]_11_居宅介護（名前定義）'!$C$182</definedName>
    <definedName name="_11_A家事増３．２５">'_11_居宅介護（名前定義）'!$C$182</definedName>
    <definedName name="_11_A家事増３．２５_補正">'[1]_11_居宅介護（名前定義）'!$C$461</definedName>
    <definedName name="_11_A家事増３．５" localSheetId="17">'[1]_11_居宅介護（名前定義）'!$C$183</definedName>
    <definedName name="_11_A家事増３．５" localSheetId="15">'[1]_11_居宅介護（名前定義）'!$C$183</definedName>
    <definedName name="_11_A家事増３．５" localSheetId="13">'[1]_11_居宅介護（名前定義）'!$C$183</definedName>
    <definedName name="_11_A家事増３．５" localSheetId="29">'[1]_11_居宅介護（名前定義）'!$C$183</definedName>
    <definedName name="_11_A家事増３．５" localSheetId="27">'[1]_11_居宅介護（名前定義）'!$C$183</definedName>
    <definedName name="_11_A家事増３．５" localSheetId="25">'[1]_11_居宅介護（名前定義）'!$C$183</definedName>
    <definedName name="_11_A家事増３．５">'_11_居宅介護（名前定義）'!$C$183</definedName>
    <definedName name="_11_A家事増３．５_補正">'[1]_11_居宅介護（名前定義）'!$C$462</definedName>
    <definedName name="_11_A家事増３．７５" localSheetId="17">'[1]_11_居宅介護（名前定義）'!$C$184</definedName>
    <definedName name="_11_A家事増３．７５" localSheetId="15">'[1]_11_居宅介護（名前定義）'!$C$184</definedName>
    <definedName name="_11_A家事増３．７５" localSheetId="13">'[1]_11_居宅介護（名前定義）'!$C$184</definedName>
    <definedName name="_11_A家事増３．７５" localSheetId="29">'[1]_11_居宅介護（名前定義）'!$C$184</definedName>
    <definedName name="_11_A家事増３．７５" localSheetId="27">'[1]_11_居宅介護（名前定義）'!$C$184</definedName>
    <definedName name="_11_A家事増３．７５" localSheetId="25">'[1]_11_居宅介護（名前定義）'!$C$184</definedName>
    <definedName name="_11_A家事増３．７５">'_11_居宅介護（名前定義）'!$C$184</definedName>
    <definedName name="_11_A家事増３．７５_補正">'[1]_11_居宅介護（名前定義）'!$C$463</definedName>
    <definedName name="_11_A家事増４．０" localSheetId="17">'[1]_11_居宅介護（名前定義）'!$C$185</definedName>
    <definedName name="_11_A家事増４．０" localSheetId="15">'[1]_11_居宅介護（名前定義）'!$C$185</definedName>
    <definedName name="_11_A家事増４．０" localSheetId="13">'[1]_11_居宅介護（名前定義）'!$C$185</definedName>
    <definedName name="_11_A家事増４．０" localSheetId="29">'[1]_11_居宅介護（名前定義）'!$C$185</definedName>
    <definedName name="_11_A家事増４．０" localSheetId="27">'[1]_11_居宅介護（名前定義）'!$C$185</definedName>
    <definedName name="_11_A家事増４．０" localSheetId="25">'[1]_11_居宅介護（名前定義）'!$C$185</definedName>
    <definedName name="_11_A家事増４．０">'_11_居宅介護（名前定義）'!$C$185</definedName>
    <definedName name="_11_A家事増４．０_補正">'[1]_11_居宅介護（名前定義）'!$C$464</definedName>
    <definedName name="_11_A家事増４．２５" localSheetId="17">'[1]_11_居宅介護（名前定義）'!$C$186</definedName>
    <definedName name="_11_A家事増４．２５" localSheetId="15">'[1]_11_居宅介護（名前定義）'!$C$186</definedName>
    <definedName name="_11_A家事増４．２５" localSheetId="13">'[1]_11_居宅介護（名前定義）'!$C$186</definedName>
    <definedName name="_11_A家事増４．２５" localSheetId="29">'[1]_11_居宅介護（名前定義）'!$C$186</definedName>
    <definedName name="_11_A家事増４．２５" localSheetId="27">'[1]_11_居宅介護（名前定義）'!$C$186</definedName>
    <definedName name="_11_A家事増４．２５" localSheetId="25">'[1]_11_居宅介護（名前定義）'!$C$186</definedName>
    <definedName name="_11_A家事増４．２５">'_11_居宅介護（名前定義）'!$C$186</definedName>
    <definedName name="_11_A家事増４．２５_補正">'[1]_11_居宅介護（名前定義）'!$C$465</definedName>
    <definedName name="_11_A家事増４．５" localSheetId="17">'[1]_11_居宅介護（名前定義）'!$C$187</definedName>
    <definedName name="_11_A家事増４．５" localSheetId="15">'[1]_11_居宅介護（名前定義）'!$C$187</definedName>
    <definedName name="_11_A家事増４．５" localSheetId="13">'[1]_11_居宅介護（名前定義）'!$C$187</definedName>
    <definedName name="_11_A家事増４．５" localSheetId="29">'[1]_11_居宅介護（名前定義）'!$C$187</definedName>
    <definedName name="_11_A家事増４．５" localSheetId="27">'[1]_11_居宅介護（名前定義）'!$C$187</definedName>
    <definedName name="_11_A家事増４．５" localSheetId="25">'[1]_11_居宅介護（名前定義）'!$C$187</definedName>
    <definedName name="_11_A家事増４．５">'_11_居宅介護（名前定義）'!$C$187</definedName>
    <definedName name="_11_A家事増４．５_補正">'[1]_11_居宅介護（名前定義）'!$C$466</definedName>
    <definedName name="_11_A家事増４．７５" localSheetId="17">'[1]_11_居宅介護（名前定義）'!$C$188</definedName>
    <definedName name="_11_A家事増４．７５" localSheetId="15">'[1]_11_居宅介護（名前定義）'!$C$188</definedName>
    <definedName name="_11_A家事増４．７５" localSheetId="13">'[1]_11_居宅介護（名前定義）'!$C$188</definedName>
    <definedName name="_11_A家事増４．７５" localSheetId="29">'[1]_11_居宅介護（名前定義）'!$C$188</definedName>
    <definedName name="_11_A家事増４．７５" localSheetId="27">'[1]_11_居宅介護（名前定義）'!$C$188</definedName>
    <definedName name="_11_A家事増４．７５" localSheetId="25">'[1]_11_居宅介護（名前定義）'!$C$188</definedName>
    <definedName name="_11_A家事増４．７５">'_11_居宅介護（名前定義）'!$C$188</definedName>
    <definedName name="_11_A家事増４．７５_補正">'[1]_11_居宅介護（名前定義）'!$C$467</definedName>
    <definedName name="_11_A家事増５．０" localSheetId="17">'[1]_11_居宅介護（名前定義）'!$C$189</definedName>
    <definedName name="_11_A家事増５．０" localSheetId="15">'[1]_11_居宅介護（名前定義）'!$C$189</definedName>
    <definedName name="_11_A家事増５．０" localSheetId="13">'[1]_11_居宅介護（名前定義）'!$C$189</definedName>
    <definedName name="_11_A家事増５．０" localSheetId="29">'[1]_11_居宅介護（名前定義）'!$C$189</definedName>
    <definedName name="_11_A家事増５．０" localSheetId="27">'[1]_11_居宅介護（名前定義）'!$C$189</definedName>
    <definedName name="_11_A家事増５．０" localSheetId="25">'[1]_11_居宅介護（名前定義）'!$C$189</definedName>
    <definedName name="_11_A家事増５．０">'_11_居宅介護（名前定義）'!$C$189</definedName>
    <definedName name="_11_A家事増５．０_補正">'[1]_11_居宅介護（名前定義）'!$C$468</definedName>
    <definedName name="_11_A家事増５．２５" localSheetId="17">'[1]_11_居宅介護（名前定義）'!$C$190</definedName>
    <definedName name="_11_A家事増５．２５" localSheetId="15">'[1]_11_居宅介護（名前定義）'!$C$190</definedName>
    <definedName name="_11_A家事増５．２５" localSheetId="13">'[1]_11_居宅介護（名前定義）'!$C$190</definedName>
    <definedName name="_11_A家事増５．２５" localSheetId="29">'[1]_11_居宅介護（名前定義）'!$C$190</definedName>
    <definedName name="_11_A家事増５．２５" localSheetId="27">'[1]_11_居宅介護（名前定義）'!$C$190</definedName>
    <definedName name="_11_A家事増５．２５" localSheetId="25">'[1]_11_居宅介護（名前定義）'!$C$190</definedName>
    <definedName name="_11_A家事増５．２５">'_11_居宅介護（名前定義）'!$C$190</definedName>
    <definedName name="_11_A家事増５．２５_補正">'[1]_11_居宅介護（名前定義）'!$C$469</definedName>
    <definedName name="_11_A家事増５．５" localSheetId="17">'[1]_11_居宅介護（名前定義）'!$C$191</definedName>
    <definedName name="_11_A家事増５．５" localSheetId="15">'[1]_11_居宅介護（名前定義）'!$C$191</definedName>
    <definedName name="_11_A家事増５．５" localSheetId="13">'[1]_11_居宅介護（名前定義）'!$C$191</definedName>
    <definedName name="_11_A家事増５．５" localSheetId="29">'[1]_11_居宅介護（名前定義）'!$C$191</definedName>
    <definedName name="_11_A家事増５．５" localSheetId="27">'[1]_11_居宅介護（名前定義）'!$C$191</definedName>
    <definedName name="_11_A家事増５．５" localSheetId="25">'[1]_11_居宅介護（名前定義）'!$C$191</definedName>
    <definedName name="_11_A家事増５．５">'_11_居宅介護（名前定義）'!$C$191</definedName>
    <definedName name="_11_A家事増５．５_補正">'[1]_11_居宅介護（名前定義）'!$C$470</definedName>
    <definedName name="_11_A家事増５．７５" localSheetId="17">'[1]_11_居宅介護（名前定義）'!$C$192</definedName>
    <definedName name="_11_A家事増５．７５" localSheetId="15">'[1]_11_居宅介護（名前定義）'!$C$192</definedName>
    <definedName name="_11_A家事増５．７５" localSheetId="13">'[1]_11_居宅介護（名前定義）'!$C$192</definedName>
    <definedName name="_11_A家事増５．７５" localSheetId="29">'[1]_11_居宅介護（名前定義）'!$C$192</definedName>
    <definedName name="_11_A家事増５．７５" localSheetId="27">'[1]_11_居宅介護（名前定義）'!$C$192</definedName>
    <definedName name="_11_A家事増５．７５" localSheetId="25">'[1]_11_居宅介護（名前定義）'!$C$192</definedName>
    <definedName name="_11_A家事増５．７５">'_11_居宅介護（名前定義）'!$C$192</definedName>
    <definedName name="_11_A家事増５．７５_補正">'[1]_11_居宅介護（名前定義）'!$C$471</definedName>
    <definedName name="_11_A家事増６．０" localSheetId="17">'[1]_11_居宅介護（名前定義）'!$C$193</definedName>
    <definedName name="_11_A家事増６．０" localSheetId="15">'[1]_11_居宅介護（名前定義）'!$C$193</definedName>
    <definedName name="_11_A家事増６．０" localSheetId="13">'[1]_11_居宅介護（名前定義）'!$C$193</definedName>
    <definedName name="_11_A家事増６．０" localSheetId="29">'[1]_11_居宅介護（名前定義）'!$C$193</definedName>
    <definedName name="_11_A家事増６．０" localSheetId="27">'[1]_11_居宅介護（名前定義）'!$C$193</definedName>
    <definedName name="_11_A家事増６．０" localSheetId="25">'[1]_11_居宅介護（名前定義）'!$C$193</definedName>
    <definedName name="_11_A家事増６．０">'_11_居宅介護（名前定義）'!$C$193</definedName>
    <definedName name="_11_A家事増６．０_補正">'[1]_11_居宅介護（名前定義）'!$C$472</definedName>
    <definedName name="_11_A家事増６．２５" localSheetId="17">'[1]_11_居宅介護（名前定義）'!$C$194</definedName>
    <definedName name="_11_A家事増６．２５" localSheetId="15">'[1]_11_居宅介護（名前定義）'!$C$194</definedName>
    <definedName name="_11_A家事増６．２５" localSheetId="13">'[1]_11_居宅介護（名前定義）'!$C$194</definedName>
    <definedName name="_11_A家事増６．２５" localSheetId="29">'[1]_11_居宅介護（名前定義）'!$C$194</definedName>
    <definedName name="_11_A家事増６．２５" localSheetId="27">'[1]_11_居宅介護（名前定義）'!$C$194</definedName>
    <definedName name="_11_A家事増６．２５" localSheetId="25">'[1]_11_居宅介護（名前定義）'!$C$194</definedName>
    <definedName name="_11_A家事増６．２５">'_11_居宅介護（名前定義）'!$C$194</definedName>
    <definedName name="_11_A家事増６．２５_補正">'[1]_11_居宅介護（名前定義）'!$C$473</definedName>
    <definedName name="_11_A家事増６．５" localSheetId="17">'[1]_11_居宅介護（名前定義）'!$C$195</definedName>
    <definedName name="_11_A家事増６．５" localSheetId="15">'[1]_11_居宅介護（名前定義）'!$C$195</definedName>
    <definedName name="_11_A家事増６．５" localSheetId="13">'[1]_11_居宅介護（名前定義）'!$C$195</definedName>
    <definedName name="_11_A家事増６．５" localSheetId="29">'[1]_11_居宅介護（名前定義）'!$C$195</definedName>
    <definedName name="_11_A家事増６．５" localSheetId="27">'[1]_11_居宅介護（名前定義）'!$C$195</definedName>
    <definedName name="_11_A家事増６．５" localSheetId="25">'[1]_11_居宅介護（名前定義）'!$C$195</definedName>
    <definedName name="_11_A家事増６．５">'_11_居宅介護（名前定義）'!$C$195</definedName>
    <definedName name="_11_A家事増６．５_補正">'[1]_11_居宅介護（名前定義）'!$C$474</definedName>
    <definedName name="_11_A家事増６．７５" localSheetId="17">'[1]_11_居宅介護（名前定義）'!$C$196</definedName>
    <definedName name="_11_A家事増６．７５" localSheetId="15">'[1]_11_居宅介護（名前定義）'!$C$196</definedName>
    <definedName name="_11_A家事増６．７５" localSheetId="13">'[1]_11_居宅介護（名前定義）'!$C$196</definedName>
    <definedName name="_11_A家事増６．７５" localSheetId="29">'[1]_11_居宅介護（名前定義）'!$C$196</definedName>
    <definedName name="_11_A家事増６．７５" localSheetId="27">'[1]_11_居宅介護（名前定義）'!$C$196</definedName>
    <definedName name="_11_A家事増６．７５" localSheetId="25">'[1]_11_居宅介護（名前定義）'!$C$196</definedName>
    <definedName name="_11_A家事増６．７５">'_11_居宅介護（名前定義）'!$C$196</definedName>
    <definedName name="_11_A家事増６．７５_補正">'[1]_11_居宅介護（名前定義）'!$C$475</definedName>
    <definedName name="_11_A家事増７．０" localSheetId="17">'[1]_11_居宅介護（名前定義）'!$C$197</definedName>
    <definedName name="_11_A家事増７．０" localSheetId="15">'[1]_11_居宅介護（名前定義）'!$C$197</definedName>
    <definedName name="_11_A家事増７．０" localSheetId="13">'[1]_11_居宅介護（名前定義）'!$C$197</definedName>
    <definedName name="_11_A家事増７．０" localSheetId="29">'[1]_11_居宅介護（名前定義）'!$C$197</definedName>
    <definedName name="_11_A家事増７．０" localSheetId="27">'[1]_11_居宅介護（名前定義）'!$C$197</definedName>
    <definedName name="_11_A家事増７．０" localSheetId="25">'[1]_11_居宅介護（名前定義）'!$C$197</definedName>
    <definedName name="_11_A家事増７．０">'_11_居宅介護（名前定義）'!$C$197</definedName>
    <definedName name="_11_A家事増７．０_補正">'[1]_11_居宅介護（名前定義）'!$C$476</definedName>
    <definedName name="_11_A家事増７．２５" localSheetId="17">'[1]_11_居宅介護（名前定義）'!$C$198</definedName>
    <definedName name="_11_A家事増７．２５" localSheetId="15">'[1]_11_居宅介護（名前定義）'!$C$198</definedName>
    <definedName name="_11_A家事増７．２５" localSheetId="13">'[1]_11_居宅介護（名前定義）'!$C$198</definedName>
    <definedName name="_11_A家事増７．２５" localSheetId="29">'[1]_11_居宅介護（名前定義）'!$C$198</definedName>
    <definedName name="_11_A家事増７．２５" localSheetId="27">'[1]_11_居宅介護（名前定義）'!$C$198</definedName>
    <definedName name="_11_A家事増７．２５" localSheetId="25">'[1]_11_居宅介護（名前定義）'!$C$198</definedName>
    <definedName name="_11_A家事増７．２５">'_11_居宅介護（名前定義）'!$C$198</definedName>
    <definedName name="_11_A家事増７．２５_補正">'[1]_11_居宅介護（名前定義）'!$C$477</definedName>
    <definedName name="_11_A家事増７．５" localSheetId="17">'[1]_11_居宅介護（名前定義）'!$C$199</definedName>
    <definedName name="_11_A家事増７．５" localSheetId="15">'[1]_11_居宅介護（名前定義）'!$C$199</definedName>
    <definedName name="_11_A家事増７．５" localSheetId="13">'[1]_11_居宅介護（名前定義）'!$C$199</definedName>
    <definedName name="_11_A家事増７．５" localSheetId="29">'[1]_11_居宅介護（名前定義）'!$C$199</definedName>
    <definedName name="_11_A家事増７．５" localSheetId="27">'[1]_11_居宅介護（名前定義）'!$C$199</definedName>
    <definedName name="_11_A家事増７．５" localSheetId="25">'[1]_11_居宅介護（名前定義）'!$C$199</definedName>
    <definedName name="_11_A家事増７．５">'_11_居宅介護（名前定義）'!$C$199</definedName>
    <definedName name="_11_A家事増７．５_補正">'[1]_11_居宅介護（名前定義）'!$C$478</definedName>
    <definedName name="_11_A家事増７．７５" localSheetId="17">'[1]_11_居宅介護（名前定義）'!$C$200</definedName>
    <definedName name="_11_A家事増７．７５" localSheetId="15">'[1]_11_居宅介護（名前定義）'!$C$200</definedName>
    <definedName name="_11_A家事増７．７５" localSheetId="13">'[1]_11_居宅介護（名前定義）'!$C$200</definedName>
    <definedName name="_11_A家事増７．７５" localSheetId="29">'[1]_11_居宅介護（名前定義）'!$C$200</definedName>
    <definedName name="_11_A家事増７．７５" localSheetId="27">'[1]_11_居宅介護（名前定義）'!$C$200</definedName>
    <definedName name="_11_A家事増７．７５" localSheetId="25">'[1]_11_居宅介護（名前定義）'!$C$200</definedName>
    <definedName name="_11_A家事増７．７５">'_11_居宅介護（名前定義）'!$C$200</definedName>
    <definedName name="_11_A家事増７．７５_補正">'[1]_11_居宅介護（名前定義）'!$C$479</definedName>
    <definedName name="_11_A家事増８．０" localSheetId="17">'[1]_11_居宅介護（名前定義）'!$C$201</definedName>
    <definedName name="_11_A家事増８．０" localSheetId="15">'[1]_11_居宅介護（名前定義）'!$C$201</definedName>
    <definedName name="_11_A家事増８．０" localSheetId="13">'[1]_11_居宅介護（名前定義）'!$C$201</definedName>
    <definedName name="_11_A家事増８．０" localSheetId="29">'[1]_11_居宅介護（名前定義）'!$C$201</definedName>
    <definedName name="_11_A家事増８．０" localSheetId="27">'[1]_11_居宅介護（名前定義）'!$C$201</definedName>
    <definedName name="_11_A家事増８．０" localSheetId="25">'[1]_11_居宅介護（名前定義）'!$C$201</definedName>
    <definedName name="_11_A家事増８．０">'_11_居宅介護（名前定義）'!$C$201</definedName>
    <definedName name="_11_A家事増８．０_補正">'[1]_11_居宅介護（名前定義）'!$C$480</definedName>
    <definedName name="_11_A家事増８．２５" localSheetId="17">'[1]_11_居宅介護（名前定義）'!$C$202</definedName>
    <definedName name="_11_A家事増８．２５" localSheetId="15">'[1]_11_居宅介護（名前定義）'!$C$202</definedName>
    <definedName name="_11_A家事増８．２５" localSheetId="13">'[1]_11_居宅介護（名前定義）'!$C$202</definedName>
    <definedName name="_11_A家事増８．２５" localSheetId="29">'[1]_11_居宅介護（名前定義）'!$C$202</definedName>
    <definedName name="_11_A家事増８．２５" localSheetId="27">'[1]_11_居宅介護（名前定義）'!$C$202</definedName>
    <definedName name="_11_A家事増８．２５" localSheetId="25">'[1]_11_居宅介護（名前定義）'!$C$202</definedName>
    <definedName name="_11_A家事増８．２５">'_11_居宅介護（名前定義）'!$C$202</definedName>
    <definedName name="_11_A家事増８．２５_補正">'[1]_11_居宅介護（名前定義）'!$C$481</definedName>
    <definedName name="_11_A家事増８．５" localSheetId="17">'[1]_11_居宅介護（名前定義）'!$C$203</definedName>
    <definedName name="_11_A家事増８．５" localSheetId="15">'[1]_11_居宅介護（名前定義）'!$C$203</definedName>
    <definedName name="_11_A家事増８．５" localSheetId="13">'[1]_11_居宅介護（名前定義）'!$C$203</definedName>
    <definedName name="_11_A家事増８．５" localSheetId="29">'[1]_11_居宅介護（名前定義）'!$C$203</definedName>
    <definedName name="_11_A家事増８．５" localSheetId="27">'[1]_11_居宅介護（名前定義）'!$C$203</definedName>
    <definedName name="_11_A家事増８．５" localSheetId="25">'[1]_11_居宅介護（名前定義）'!$C$203</definedName>
    <definedName name="_11_A家事増８．５">'_11_居宅介護（名前定義）'!$C$203</definedName>
    <definedName name="_11_A家事増８．５_補正">'[1]_11_居宅介護（名前定義）'!$C$482</definedName>
    <definedName name="_11_A家事増８．７５" localSheetId="17">'[1]_11_居宅介護（名前定義）'!$C$204</definedName>
    <definedName name="_11_A家事増８．７５" localSheetId="15">'[1]_11_居宅介護（名前定義）'!$C$204</definedName>
    <definedName name="_11_A家事増８．７５" localSheetId="13">'[1]_11_居宅介護（名前定義）'!$C$204</definedName>
    <definedName name="_11_A家事増８．７５" localSheetId="29">'[1]_11_居宅介護（名前定義）'!$C$204</definedName>
    <definedName name="_11_A家事増８．７５" localSheetId="27">'[1]_11_居宅介護（名前定義）'!$C$204</definedName>
    <definedName name="_11_A家事増８．７５" localSheetId="25">'[1]_11_居宅介護（名前定義）'!$C$204</definedName>
    <definedName name="_11_A家事増８．７５">'_11_居宅介護（名前定義）'!$C$204</definedName>
    <definedName name="_11_A家事増８．７５_補正">'[1]_11_居宅介護（名前定義）'!$C$483</definedName>
    <definedName name="_11_A家事増９．０" localSheetId="17">'[1]_11_居宅介護（名前定義）'!$C$205</definedName>
    <definedName name="_11_A家事増９．０" localSheetId="15">'[1]_11_居宅介護（名前定義）'!$C$205</definedName>
    <definedName name="_11_A家事増９．０" localSheetId="13">'[1]_11_居宅介護（名前定義）'!$C$205</definedName>
    <definedName name="_11_A家事増９．０" localSheetId="29">'[1]_11_居宅介護（名前定義）'!$C$205</definedName>
    <definedName name="_11_A家事増９．０" localSheetId="27">'[1]_11_居宅介護（名前定義）'!$C$205</definedName>
    <definedName name="_11_A家事増９．０" localSheetId="25">'[1]_11_居宅介護（名前定義）'!$C$205</definedName>
    <definedName name="_11_A家事増９．０">'_11_居宅介護（名前定義）'!$C$205</definedName>
    <definedName name="_11_A家事増９．０_補正">'[1]_11_居宅介護（名前定義）'!$C$484</definedName>
    <definedName name="_11_A家事増９．２５" localSheetId="17">'[1]_11_居宅介護（名前定義）'!$C$206</definedName>
    <definedName name="_11_A家事増９．２５" localSheetId="15">'[1]_11_居宅介護（名前定義）'!$C$206</definedName>
    <definedName name="_11_A家事増９．２５" localSheetId="13">'[1]_11_居宅介護（名前定義）'!$C$206</definedName>
    <definedName name="_11_A家事増９．２５" localSheetId="29">'[1]_11_居宅介護（名前定義）'!$C$206</definedName>
    <definedName name="_11_A家事増９．２５" localSheetId="27">'[1]_11_居宅介護（名前定義）'!$C$206</definedName>
    <definedName name="_11_A家事増９．２５" localSheetId="25">'[1]_11_居宅介護（名前定義）'!$C$206</definedName>
    <definedName name="_11_A家事増９．２５">'_11_居宅介護（名前定義）'!$C$206</definedName>
    <definedName name="_11_A家事増９．２５_補正">'[1]_11_居宅介護（名前定義）'!$C$485</definedName>
    <definedName name="_11_A家事増９．５" localSheetId="17">'[1]_11_居宅介護（名前定義）'!$C$207</definedName>
    <definedName name="_11_A家事増９．５" localSheetId="15">'[1]_11_居宅介護（名前定義）'!$C$207</definedName>
    <definedName name="_11_A家事増９．５" localSheetId="13">'[1]_11_居宅介護（名前定義）'!$C$207</definedName>
    <definedName name="_11_A家事増９．５" localSheetId="29">'[1]_11_居宅介護（名前定義）'!$C$207</definedName>
    <definedName name="_11_A家事増９．５" localSheetId="27">'[1]_11_居宅介護（名前定義）'!$C$207</definedName>
    <definedName name="_11_A家事増９．５" localSheetId="25">'[1]_11_居宅介護（名前定義）'!$C$207</definedName>
    <definedName name="_11_A家事増９．５">'_11_居宅介護（名前定義）'!$C$207</definedName>
    <definedName name="_11_A家事増９．５_補正">'[1]_11_居宅介護（名前定義）'!$C$486</definedName>
    <definedName name="_11_A家事増９．７５" localSheetId="17">'[1]_11_居宅介護（名前定義）'!$C$208</definedName>
    <definedName name="_11_A家事増９．７５" localSheetId="15">'[1]_11_居宅介護（名前定義）'!$C$208</definedName>
    <definedName name="_11_A家事増９．７５" localSheetId="13">'[1]_11_居宅介護（名前定義）'!$C$208</definedName>
    <definedName name="_11_A家事増９．７５" localSheetId="29">'[1]_11_居宅介護（名前定義）'!$C$208</definedName>
    <definedName name="_11_A家事増９．７５" localSheetId="27">'[1]_11_居宅介護（名前定義）'!$C$208</definedName>
    <definedName name="_11_A家事増９．７５" localSheetId="25">'[1]_11_居宅介護（名前定義）'!$C$208</definedName>
    <definedName name="_11_A家事増９．７５">'_11_居宅介護（名前定義）'!$C$208</definedName>
    <definedName name="_11_A家事増９．７５_補正">'[1]_11_居宅介護（名前定義）'!$C$487</definedName>
    <definedName name="_11_A重度研修１．０" localSheetId="17">'[1]_11_居宅介護（名前定義）'!$C$46</definedName>
    <definedName name="_11_A重度研修１．０" localSheetId="15">'[1]_11_居宅介護（名前定義）'!$C$46</definedName>
    <definedName name="_11_A重度研修１．０" localSheetId="13">'[1]_11_居宅介護（名前定義）'!$C$46</definedName>
    <definedName name="_11_A重度研修１．０" localSheetId="29">'[1]_11_居宅介護（名前定義）'!$C$46</definedName>
    <definedName name="_11_A重度研修１．０" localSheetId="27">'[1]_11_居宅介護（名前定義）'!$C$46</definedName>
    <definedName name="_11_A重度研修１．０" localSheetId="25">'[1]_11_居宅介護（名前定義）'!$C$46</definedName>
    <definedName name="_11_A重度研修１．０">'_11_居宅介護（名前定義）'!$C$46</definedName>
    <definedName name="_11_A重度研修１．５" localSheetId="17">'[1]_11_居宅介護（名前定義）'!$C$47</definedName>
    <definedName name="_11_A重度研修１．５" localSheetId="15">'[1]_11_居宅介護（名前定義）'!$C$47</definedName>
    <definedName name="_11_A重度研修１．５" localSheetId="13">'[1]_11_居宅介護（名前定義）'!$C$47</definedName>
    <definedName name="_11_A重度研修１．５" localSheetId="29">'[1]_11_居宅介護（名前定義）'!$C$47</definedName>
    <definedName name="_11_A重度研修１．５" localSheetId="27">'[1]_11_居宅介護（名前定義）'!$C$47</definedName>
    <definedName name="_11_A重度研修１．５" localSheetId="25">'[1]_11_居宅介護（名前定義）'!$C$47</definedName>
    <definedName name="_11_A重度研修１．５">'_11_居宅介護（名前定義）'!$C$47</definedName>
    <definedName name="_11_A重度研修１０．０" localSheetId="17">'[1]_11_居宅介護（名前定義）'!$C$64</definedName>
    <definedName name="_11_A重度研修１０．０" localSheetId="15">'[1]_11_居宅介護（名前定義）'!$C$64</definedName>
    <definedName name="_11_A重度研修１０．０" localSheetId="13">'[1]_11_居宅介護（名前定義）'!$C$64</definedName>
    <definedName name="_11_A重度研修１０．０" localSheetId="29">'[1]_11_居宅介護（名前定義）'!$C$64</definedName>
    <definedName name="_11_A重度研修１０．０" localSheetId="27">'[1]_11_居宅介護（名前定義）'!$C$64</definedName>
    <definedName name="_11_A重度研修１０．０" localSheetId="25">'[1]_11_居宅介護（名前定義）'!$C$64</definedName>
    <definedName name="_11_A重度研修１０．０">'_11_居宅介護（名前定義）'!$C$64</definedName>
    <definedName name="_11_A重度研修１０．５" localSheetId="17">'[1]_11_居宅介護（名前定義）'!$C$65</definedName>
    <definedName name="_11_A重度研修１０．５" localSheetId="15">'[1]_11_居宅介護（名前定義）'!$C$65</definedName>
    <definedName name="_11_A重度研修１０．５" localSheetId="13">'[1]_11_居宅介護（名前定義）'!$C$65</definedName>
    <definedName name="_11_A重度研修１０．５" localSheetId="29">'[1]_11_居宅介護（名前定義）'!$C$65</definedName>
    <definedName name="_11_A重度研修１０．５" localSheetId="27">'[1]_11_居宅介護（名前定義）'!$C$65</definedName>
    <definedName name="_11_A重度研修１０．５" localSheetId="25">'[1]_11_居宅介護（名前定義）'!$C$65</definedName>
    <definedName name="_11_A重度研修１０．５">'_11_居宅介護（名前定義）'!$C$65</definedName>
    <definedName name="_11_A重度研修２．０" localSheetId="17">'[1]_11_居宅介護（名前定義）'!$C$48</definedName>
    <definedName name="_11_A重度研修２．０" localSheetId="15">'[1]_11_居宅介護（名前定義）'!$C$48</definedName>
    <definedName name="_11_A重度研修２．０" localSheetId="13">'[1]_11_居宅介護（名前定義）'!$C$48</definedName>
    <definedName name="_11_A重度研修２．０" localSheetId="29">'[1]_11_居宅介護（名前定義）'!$C$48</definedName>
    <definedName name="_11_A重度研修２．０" localSheetId="27">'[1]_11_居宅介護（名前定義）'!$C$48</definedName>
    <definedName name="_11_A重度研修２．０" localSheetId="25">'[1]_11_居宅介護（名前定義）'!$C$48</definedName>
    <definedName name="_11_A重度研修２．０">'_11_居宅介護（名前定義）'!$C$48</definedName>
    <definedName name="_11_A重度研修２．５" localSheetId="17">'[1]_11_居宅介護（名前定義）'!$C$49</definedName>
    <definedName name="_11_A重度研修２．５" localSheetId="15">'[1]_11_居宅介護（名前定義）'!$C$49</definedName>
    <definedName name="_11_A重度研修２．５" localSheetId="13">'[1]_11_居宅介護（名前定義）'!$C$49</definedName>
    <definedName name="_11_A重度研修２．５" localSheetId="29">'[1]_11_居宅介護（名前定義）'!$C$49</definedName>
    <definedName name="_11_A重度研修２．５" localSheetId="27">'[1]_11_居宅介護（名前定義）'!$C$49</definedName>
    <definedName name="_11_A重度研修２．５" localSheetId="25">'[1]_11_居宅介護（名前定義）'!$C$49</definedName>
    <definedName name="_11_A重度研修２．５">'_11_居宅介護（名前定義）'!$C$49</definedName>
    <definedName name="_11_A重度研修３．０" localSheetId="17">'[1]_11_居宅介護（名前定義）'!$C$50</definedName>
    <definedName name="_11_A重度研修３．０" localSheetId="15">'[1]_11_居宅介護（名前定義）'!$C$50</definedName>
    <definedName name="_11_A重度研修３．０" localSheetId="13">'[1]_11_居宅介護（名前定義）'!$C$50</definedName>
    <definedName name="_11_A重度研修３．０" localSheetId="29">'[1]_11_居宅介護（名前定義）'!$C$50</definedName>
    <definedName name="_11_A重度研修３．０" localSheetId="27">'[1]_11_居宅介護（名前定義）'!$C$50</definedName>
    <definedName name="_11_A重度研修３．０" localSheetId="25">'[1]_11_居宅介護（名前定義）'!$C$50</definedName>
    <definedName name="_11_A重度研修３．０">'_11_居宅介護（名前定義）'!$C$50</definedName>
    <definedName name="_11_A重度研修３．５" localSheetId="17">'[1]_11_居宅介護（名前定義）'!$C$51</definedName>
    <definedName name="_11_A重度研修３．５" localSheetId="15">'[1]_11_居宅介護（名前定義）'!$C$51</definedName>
    <definedName name="_11_A重度研修３．５" localSheetId="13">'[1]_11_居宅介護（名前定義）'!$C$51</definedName>
    <definedName name="_11_A重度研修３．５" localSheetId="29">'[1]_11_居宅介護（名前定義）'!$C$51</definedName>
    <definedName name="_11_A重度研修３．５" localSheetId="27">'[1]_11_居宅介護（名前定義）'!$C$51</definedName>
    <definedName name="_11_A重度研修３．５" localSheetId="25">'[1]_11_居宅介護（名前定義）'!$C$51</definedName>
    <definedName name="_11_A重度研修３．５">'_11_居宅介護（名前定義）'!$C$51</definedName>
    <definedName name="_11_A重度研修４．０" localSheetId="17">'[1]_11_居宅介護（名前定義）'!$C$52</definedName>
    <definedName name="_11_A重度研修４．０" localSheetId="15">'[1]_11_居宅介護（名前定義）'!$C$52</definedName>
    <definedName name="_11_A重度研修４．０" localSheetId="13">'[1]_11_居宅介護（名前定義）'!$C$52</definedName>
    <definedName name="_11_A重度研修４．０" localSheetId="29">'[1]_11_居宅介護（名前定義）'!$C$52</definedName>
    <definedName name="_11_A重度研修４．０" localSheetId="27">'[1]_11_居宅介護（名前定義）'!$C$52</definedName>
    <definedName name="_11_A重度研修４．０" localSheetId="25">'[1]_11_居宅介護（名前定義）'!$C$52</definedName>
    <definedName name="_11_A重度研修４．０">'_11_居宅介護（名前定義）'!$C$52</definedName>
    <definedName name="_11_A重度研修４．５" localSheetId="17">'[1]_11_居宅介護（名前定義）'!$C$53</definedName>
    <definedName name="_11_A重度研修４．５" localSheetId="15">'[1]_11_居宅介護（名前定義）'!$C$53</definedName>
    <definedName name="_11_A重度研修４．５" localSheetId="13">'[1]_11_居宅介護（名前定義）'!$C$53</definedName>
    <definedName name="_11_A重度研修４．５" localSheetId="29">'[1]_11_居宅介護（名前定義）'!$C$53</definedName>
    <definedName name="_11_A重度研修４．５" localSheetId="27">'[1]_11_居宅介護（名前定義）'!$C$53</definedName>
    <definedName name="_11_A重度研修４．５" localSheetId="25">'[1]_11_居宅介護（名前定義）'!$C$53</definedName>
    <definedName name="_11_A重度研修４．５">'_11_居宅介護（名前定義）'!$C$53</definedName>
    <definedName name="_11_A重度研修５．０" localSheetId="17">'[1]_11_居宅介護（名前定義）'!$C$54</definedName>
    <definedName name="_11_A重度研修５．０" localSheetId="15">'[1]_11_居宅介護（名前定義）'!$C$54</definedName>
    <definedName name="_11_A重度研修５．０" localSheetId="13">'[1]_11_居宅介護（名前定義）'!$C$54</definedName>
    <definedName name="_11_A重度研修５．０" localSheetId="29">'[1]_11_居宅介護（名前定義）'!$C$54</definedName>
    <definedName name="_11_A重度研修５．０" localSheetId="27">'[1]_11_居宅介護（名前定義）'!$C$54</definedName>
    <definedName name="_11_A重度研修５．０" localSheetId="25">'[1]_11_居宅介護（名前定義）'!$C$54</definedName>
    <definedName name="_11_A重度研修５．０">'_11_居宅介護（名前定義）'!$C$54</definedName>
    <definedName name="_11_A重度研修５．５" localSheetId="17">'[1]_11_居宅介護（名前定義）'!$C$55</definedName>
    <definedName name="_11_A重度研修５．５" localSheetId="15">'[1]_11_居宅介護（名前定義）'!$C$55</definedName>
    <definedName name="_11_A重度研修５．５" localSheetId="13">'[1]_11_居宅介護（名前定義）'!$C$55</definedName>
    <definedName name="_11_A重度研修５．５" localSheetId="29">'[1]_11_居宅介護（名前定義）'!$C$55</definedName>
    <definedName name="_11_A重度研修５．５" localSheetId="27">'[1]_11_居宅介護（名前定義）'!$C$55</definedName>
    <definedName name="_11_A重度研修５．５" localSheetId="25">'[1]_11_居宅介護（名前定義）'!$C$55</definedName>
    <definedName name="_11_A重度研修５．５">'_11_居宅介護（名前定義）'!$C$55</definedName>
    <definedName name="_11_A重度研修６．０" localSheetId="17">'[1]_11_居宅介護（名前定義）'!$C$56</definedName>
    <definedName name="_11_A重度研修６．０" localSheetId="15">'[1]_11_居宅介護（名前定義）'!$C$56</definedName>
    <definedName name="_11_A重度研修６．０" localSheetId="13">'[1]_11_居宅介護（名前定義）'!$C$56</definedName>
    <definedName name="_11_A重度研修６．０" localSheetId="29">'[1]_11_居宅介護（名前定義）'!$C$56</definedName>
    <definedName name="_11_A重度研修６．０" localSheetId="27">'[1]_11_居宅介護（名前定義）'!$C$56</definedName>
    <definedName name="_11_A重度研修６．０" localSheetId="25">'[1]_11_居宅介護（名前定義）'!$C$56</definedName>
    <definedName name="_11_A重度研修６．０">'_11_居宅介護（名前定義）'!$C$56</definedName>
    <definedName name="_11_A重度研修６．５" localSheetId="17">'[1]_11_居宅介護（名前定義）'!$C$57</definedName>
    <definedName name="_11_A重度研修６．５" localSheetId="15">'[1]_11_居宅介護（名前定義）'!$C$57</definedName>
    <definedName name="_11_A重度研修６．５" localSheetId="13">'[1]_11_居宅介護（名前定義）'!$C$57</definedName>
    <definedName name="_11_A重度研修６．５" localSheetId="29">'[1]_11_居宅介護（名前定義）'!$C$57</definedName>
    <definedName name="_11_A重度研修６．５" localSheetId="27">'[1]_11_居宅介護（名前定義）'!$C$57</definedName>
    <definedName name="_11_A重度研修６．５" localSheetId="25">'[1]_11_居宅介護（名前定義）'!$C$57</definedName>
    <definedName name="_11_A重度研修６．５">'_11_居宅介護（名前定義）'!$C$57</definedName>
    <definedName name="_11_A重度研修７．０" localSheetId="17">'[1]_11_居宅介護（名前定義）'!$C$58</definedName>
    <definedName name="_11_A重度研修７．０" localSheetId="15">'[1]_11_居宅介護（名前定義）'!$C$58</definedName>
    <definedName name="_11_A重度研修７．０" localSheetId="13">'[1]_11_居宅介護（名前定義）'!$C$58</definedName>
    <definedName name="_11_A重度研修７．０" localSheetId="29">'[1]_11_居宅介護（名前定義）'!$C$58</definedName>
    <definedName name="_11_A重度研修７．０" localSheetId="27">'[1]_11_居宅介護（名前定義）'!$C$58</definedName>
    <definedName name="_11_A重度研修７．０" localSheetId="25">'[1]_11_居宅介護（名前定義）'!$C$58</definedName>
    <definedName name="_11_A重度研修７．０">'_11_居宅介護（名前定義）'!$C$58</definedName>
    <definedName name="_11_A重度研修７．５" localSheetId="17">'[1]_11_居宅介護（名前定義）'!$C$59</definedName>
    <definedName name="_11_A重度研修７．５" localSheetId="15">'[1]_11_居宅介護（名前定義）'!$C$59</definedName>
    <definedName name="_11_A重度研修７．５" localSheetId="13">'[1]_11_居宅介護（名前定義）'!$C$59</definedName>
    <definedName name="_11_A重度研修７．５" localSheetId="29">'[1]_11_居宅介護（名前定義）'!$C$59</definedName>
    <definedName name="_11_A重度研修７．５" localSheetId="27">'[1]_11_居宅介護（名前定義）'!$C$59</definedName>
    <definedName name="_11_A重度研修７．５" localSheetId="25">'[1]_11_居宅介護（名前定義）'!$C$59</definedName>
    <definedName name="_11_A重度研修７．５">'_11_居宅介護（名前定義）'!$C$59</definedName>
    <definedName name="_11_A重度研修８．０" localSheetId="17">'[1]_11_居宅介護（名前定義）'!$C$60</definedName>
    <definedName name="_11_A重度研修８．０" localSheetId="15">'[1]_11_居宅介護（名前定義）'!$C$60</definedName>
    <definedName name="_11_A重度研修８．０" localSheetId="13">'[1]_11_居宅介護（名前定義）'!$C$60</definedName>
    <definedName name="_11_A重度研修８．０" localSheetId="29">'[1]_11_居宅介護（名前定義）'!$C$60</definedName>
    <definedName name="_11_A重度研修８．０" localSheetId="27">'[1]_11_居宅介護（名前定義）'!$C$60</definedName>
    <definedName name="_11_A重度研修８．０" localSheetId="25">'[1]_11_居宅介護（名前定義）'!$C$60</definedName>
    <definedName name="_11_A重度研修８．０">'_11_居宅介護（名前定義）'!$C$60</definedName>
    <definedName name="_11_A重度研修８．５" localSheetId="17">'[1]_11_居宅介護（名前定義）'!$C$61</definedName>
    <definedName name="_11_A重度研修８．５" localSheetId="15">'[1]_11_居宅介護（名前定義）'!$C$61</definedName>
    <definedName name="_11_A重度研修８．５" localSheetId="13">'[1]_11_居宅介護（名前定義）'!$C$61</definedName>
    <definedName name="_11_A重度研修８．５" localSheetId="29">'[1]_11_居宅介護（名前定義）'!$C$61</definedName>
    <definedName name="_11_A重度研修８．５" localSheetId="27">'[1]_11_居宅介護（名前定義）'!$C$61</definedName>
    <definedName name="_11_A重度研修８．５" localSheetId="25">'[1]_11_居宅介護（名前定義）'!$C$61</definedName>
    <definedName name="_11_A重度研修８．５">'_11_居宅介護（名前定義）'!$C$61</definedName>
    <definedName name="_11_A重度研修９．０" localSheetId="17">'[1]_11_居宅介護（名前定義）'!$C$62</definedName>
    <definedName name="_11_A重度研修９．０" localSheetId="15">'[1]_11_居宅介護（名前定義）'!$C$62</definedName>
    <definedName name="_11_A重度研修９．０" localSheetId="13">'[1]_11_居宅介護（名前定義）'!$C$62</definedName>
    <definedName name="_11_A重度研修９．０" localSheetId="29">'[1]_11_居宅介護（名前定義）'!$C$62</definedName>
    <definedName name="_11_A重度研修９．０" localSheetId="27">'[1]_11_居宅介護（名前定義）'!$C$62</definedName>
    <definedName name="_11_A重度研修９．０" localSheetId="25">'[1]_11_居宅介護（名前定義）'!$C$62</definedName>
    <definedName name="_11_A重度研修９．０">'_11_居宅介護（名前定義）'!$C$62</definedName>
    <definedName name="_11_A重度研修９．５" localSheetId="17">'[1]_11_居宅介護（名前定義）'!$C$63</definedName>
    <definedName name="_11_A重度研修９．５" localSheetId="15">'[1]_11_居宅介護（名前定義）'!$C$63</definedName>
    <definedName name="_11_A重度研修９．５" localSheetId="13">'[1]_11_居宅介護（名前定義）'!$C$63</definedName>
    <definedName name="_11_A重度研修９．５" localSheetId="29">'[1]_11_居宅介護（名前定義）'!$C$63</definedName>
    <definedName name="_11_A重度研修９．５" localSheetId="27">'[1]_11_居宅介護（名前定義）'!$C$63</definedName>
    <definedName name="_11_A重度研修９．５" localSheetId="25">'[1]_11_居宅介護（名前定義）'!$C$63</definedName>
    <definedName name="_11_A重度研修９．５">'_11_居宅介護（名前定義）'!$C$63</definedName>
    <definedName name="_11_A重度研修増０．５" localSheetId="17">'[1]_11_居宅介護（名前定義）'!$C$66</definedName>
    <definedName name="_11_A重度研修増０．５" localSheetId="15">'[1]_11_居宅介護（名前定義）'!$C$66</definedName>
    <definedName name="_11_A重度研修増０．５" localSheetId="13">'[1]_11_居宅介護（名前定義）'!$C$66</definedName>
    <definedName name="_11_A重度研修増０．５" localSheetId="29">'[1]_11_居宅介護（名前定義）'!$C$66</definedName>
    <definedName name="_11_A重度研修増０．５" localSheetId="27">'[1]_11_居宅介護（名前定義）'!$C$66</definedName>
    <definedName name="_11_A重度研修増０．５" localSheetId="25">'[1]_11_居宅介護（名前定義）'!$C$66</definedName>
    <definedName name="_11_A重度研修増０．５">'_11_居宅介護（名前定義）'!$C$66</definedName>
    <definedName name="_11_A重度研修増０．５_補正">'[1]_11_居宅介護（名前定義）'!$C$407</definedName>
    <definedName name="_11_A重度研修増１．０" localSheetId="17">'[1]_11_居宅介護（名前定義）'!$C$67</definedName>
    <definedName name="_11_A重度研修増１．０" localSheetId="15">'[1]_11_居宅介護（名前定義）'!$C$67</definedName>
    <definedName name="_11_A重度研修増１．０" localSheetId="13">'[1]_11_居宅介護（名前定義）'!$C$67</definedName>
    <definedName name="_11_A重度研修増１．０" localSheetId="29">'[1]_11_居宅介護（名前定義）'!$C$67</definedName>
    <definedName name="_11_A重度研修増１．０" localSheetId="27">'[1]_11_居宅介護（名前定義）'!$C$67</definedName>
    <definedName name="_11_A重度研修増１．０" localSheetId="25">'[1]_11_居宅介護（名前定義）'!$C$67</definedName>
    <definedName name="_11_A重度研修増１．０">'_11_居宅介護（名前定義）'!$C$67</definedName>
    <definedName name="_11_A重度研修増１．０_補正">'[1]_11_居宅介護（名前定義）'!$C$408</definedName>
    <definedName name="_11_A重度研修増１．５" localSheetId="17">'[1]_11_居宅介護（名前定義）'!$C$68</definedName>
    <definedName name="_11_A重度研修増１．５" localSheetId="15">'[1]_11_居宅介護（名前定義）'!$C$68</definedName>
    <definedName name="_11_A重度研修増１．５" localSheetId="13">'[1]_11_居宅介護（名前定義）'!$C$68</definedName>
    <definedName name="_11_A重度研修増１．５" localSheetId="29">'[1]_11_居宅介護（名前定義）'!$C$68</definedName>
    <definedName name="_11_A重度研修増１．５" localSheetId="27">'[1]_11_居宅介護（名前定義）'!$C$68</definedName>
    <definedName name="_11_A重度研修増１．５" localSheetId="25">'[1]_11_居宅介護（名前定義）'!$C$68</definedName>
    <definedName name="_11_A重度研修増１．５">'_11_居宅介護（名前定義）'!$C$68</definedName>
    <definedName name="_11_A重度研修増１．５_補正">'[1]_11_居宅介護（名前定義）'!$C$409</definedName>
    <definedName name="_11_A重度研修増１０．０" localSheetId="17">'[1]_11_居宅介護（名前定義）'!$C$85</definedName>
    <definedName name="_11_A重度研修増１０．０" localSheetId="15">'[1]_11_居宅介護（名前定義）'!$C$85</definedName>
    <definedName name="_11_A重度研修増１０．０" localSheetId="13">'[1]_11_居宅介護（名前定義）'!$C$85</definedName>
    <definedName name="_11_A重度研修増１０．０" localSheetId="29">'[1]_11_居宅介護（名前定義）'!$C$85</definedName>
    <definedName name="_11_A重度研修増１０．０" localSheetId="27">'[1]_11_居宅介護（名前定義）'!$C$85</definedName>
    <definedName name="_11_A重度研修増１０．０" localSheetId="25">'[1]_11_居宅介護（名前定義）'!$C$85</definedName>
    <definedName name="_11_A重度研修増１０．０">'_11_居宅介護（名前定義）'!$C$85</definedName>
    <definedName name="_11_A重度研修増１０．０_補正">'[1]_11_居宅介護（名前定義）'!$C$426</definedName>
    <definedName name="_11_A重度研修増１０．５" localSheetId="17">'[1]_11_居宅介護（名前定義）'!$C$86</definedName>
    <definedName name="_11_A重度研修増１０．５" localSheetId="15">'[1]_11_居宅介護（名前定義）'!$C$86</definedName>
    <definedName name="_11_A重度研修増１０．５" localSheetId="13">'[1]_11_居宅介護（名前定義）'!$C$86</definedName>
    <definedName name="_11_A重度研修増１０．５" localSheetId="29">'[1]_11_居宅介護（名前定義）'!$C$86</definedName>
    <definedName name="_11_A重度研修増１０．５" localSheetId="27">'[1]_11_居宅介護（名前定義）'!$C$86</definedName>
    <definedName name="_11_A重度研修増１０．５" localSheetId="25">'[1]_11_居宅介護（名前定義）'!$C$86</definedName>
    <definedName name="_11_A重度研修増１０．５">'_11_居宅介護（名前定義）'!$C$86</definedName>
    <definedName name="_11_A重度研修増１０．５_補正">'[1]_11_居宅介護（名前定義）'!$C$427</definedName>
    <definedName name="_11_A重度研修増２．０" localSheetId="17">'[1]_11_居宅介護（名前定義）'!$C$69</definedName>
    <definedName name="_11_A重度研修増２．０" localSheetId="15">'[1]_11_居宅介護（名前定義）'!$C$69</definedName>
    <definedName name="_11_A重度研修増２．０" localSheetId="13">'[1]_11_居宅介護（名前定義）'!$C$69</definedName>
    <definedName name="_11_A重度研修増２．０" localSheetId="29">'[1]_11_居宅介護（名前定義）'!$C$69</definedName>
    <definedName name="_11_A重度研修増２．０" localSheetId="27">'[1]_11_居宅介護（名前定義）'!$C$69</definedName>
    <definedName name="_11_A重度研修増２．０" localSheetId="25">'[1]_11_居宅介護（名前定義）'!$C$69</definedName>
    <definedName name="_11_A重度研修増２．０">'_11_居宅介護（名前定義）'!$C$69</definedName>
    <definedName name="_11_A重度研修増２．０_補正">'[1]_11_居宅介護（名前定義）'!$C$410</definedName>
    <definedName name="_11_A重度研修増２．５" localSheetId="17">'[1]_11_居宅介護（名前定義）'!$C$70</definedName>
    <definedName name="_11_A重度研修増２．５" localSheetId="15">'[1]_11_居宅介護（名前定義）'!$C$70</definedName>
    <definedName name="_11_A重度研修増２．５" localSheetId="13">'[1]_11_居宅介護（名前定義）'!$C$70</definedName>
    <definedName name="_11_A重度研修増２．５" localSheetId="29">'[1]_11_居宅介護（名前定義）'!$C$70</definedName>
    <definedName name="_11_A重度研修増２．５" localSheetId="27">'[1]_11_居宅介護（名前定義）'!$C$70</definedName>
    <definedName name="_11_A重度研修増２．５" localSheetId="25">'[1]_11_居宅介護（名前定義）'!$C$70</definedName>
    <definedName name="_11_A重度研修増２．５">'_11_居宅介護（名前定義）'!$C$70</definedName>
    <definedName name="_11_A重度研修増２．５_補正">'[1]_11_居宅介護（名前定義）'!$C$411</definedName>
    <definedName name="_11_A重度研修増３．０" localSheetId="17">'[1]_11_居宅介護（名前定義）'!$C$71</definedName>
    <definedName name="_11_A重度研修増３．０" localSheetId="15">'[1]_11_居宅介護（名前定義）'!$C$71</definedName>
    <definedName name="_11_A重度研修増３．０" localSheetId="13">'[1]_11_居宅介護（名前定義）'!$C$71</definedName>
    <definedName name="_11_A重度研修増３．０" localSheetId="29">'[1]_11_居宅介護（名前定義）'!$C$71</definedName>
    <definedName name="_11_A重度研修増３．０" localSheetId="27">'[1]_11_居宅介護（名前定義）'!$C$71</definedName>
    <definedName name="_11_A重度研修増３．０" localSheetId="25">'[1]_11_居宅介護（名前定義）'!$C$71</definedName>
    <definedName name="_11_A重度研修増３．０">'_11_居宅介護（名前定義）'!$C$71</definedName>
    <definedName name="_11_A重度研修増３．０_補正">'[1]_11_居宅介護（名前定義）'!$C$412</definedName>
    <definedName name="_11_A重度研修増３．５" localSheetId="17">'[1]_11_居宅介護（名前定義）'!$C$72</definedName>
    <definedName name="_11_A重度研修増３．５" localSheetId="15">'[1]_11_居宅介護（名前定義）'!$C$72</definedName>
    <definedName name="_11_A重度研修増３．５" localSheetId="13">'[1]_11_居宅介護（名前定義）'!$C$72</definedName>
    <definedName name="_11_A重度研修増３．５" localSheetId="29">'[1]_11_居宅介護（名前定義）'!$C$72</definedName>
    <definedName name="_11_A重度研修増３．５" localSheetId="27">'[1]_11_居宅介護（名前定義）'!$C$72</definedName>
    <definedName name="_11_A重度研修増３．５" localSheetId="25">'[1]_11_居宅介護（名前定義）'!$C$72</definedName>
    <definedName name="_11_A重度研修増３．５">'_11_居宅介護（名前定義）'!$C$72</definedName>
    <definedName name="_11_A重度研修増３．５_補正">'[1]_11_居宅介護（名前定義）'!$C$413</definedName>
    <definedName name="_11_A重度研修増４．０" localSheetId="17">'[1]_11_居宅介護（名前定義）'!$C$73</definedName>
    <definedName name="_11_A重度研修増４．０" localSheetId="15">'[1]_11_居宅介護（名前定義）'!$C$73</definedName>
    <definedName name="_11_A重度研修増４．０" localSheetId="13">'[1]_11_居宅介護（名前定義）'!$C$73</definedName>
    <definedName name="_11_A重度研修増４．０" localSheetId="29">'[1]_11_居宅介護（名前定義）'!$C$73</definedName>
    <definedName name="_11_A重度研修増４．０" localSheetId="27">'[1]_11_居宅介護（名前定義）'!$C$73</definedName>
    <definedName name="_11_A重度研修増４．０" localSheetId="25">'[1]_11_居宅介護（名前定義）'!$C$73</definedName>
    <definedName name="_11_A重度研修増４．０">'_11_居宅介護（名前定義）'!$C$73</definedName>
    <definedName name="_11_A重度研修増４．０_補正">'[1]_11_居宅介護（名前定義）'!$C$414</definedName>
    <definedName name="_11_A重度研修増４．５" localSheetId="17">'[1]_11_居宅介護（名前定義）'!$C$74</definedName>
    <definedName name="_11_A重度研修増４．５" localSheetId="15">'[1]_11_居宅介護（名前定義）'!$C$74</definedName>
    <definedName name="_11_A重度研修増４．５" localSheetId="13">'[1]_11_居宅介護（名前定義）'!$C$74</definedName>
    <definedName name="_11_A重度研修増４．５" localSheetId="29">'[1]_11_居宅介護（名前定義）'!$C$74</definedName>
    <definedName name="_11_A重度研修増４．５" localSheetId="27">'[1]_11_居宅介護（名前定義）'!$C$74</definedName>
    <definedName name="_11_A重度研修増４．５" localSheetId="25">'[1]_11_居宅介護（名前定義）'!$C$74</definedName>
    <definedName name="_11_A重度研修増４．５">'_11_居宅介護（名前定義）'!$C$74</definedName>
    <definedName name="_11_A重度研修増４．５_補正">'[1]_11_居宅介護（名前定義）'!$C$415</definedName>
    <definedName name="_11_A重度研修増５．０" localSheetId="17">'[1]_11_居宅介護（名前定義）'!$C$75</definedName>
    <definedName name="_11_A重度研修増５．０" localSheetId="15">'[1]_11_居宅介護（名前定義）'!$C$75</definedName>
    <definedName name="_11_A重度研修増５．０" localSheetId="13">'[1]_11_居宅介護（名前定義）'!$C$75</definedName>
    <definedName name="_11_A重度研修増５．０" localSheetId="29">'[1]_11_居宅介護（名前定義）'!$C$75</definedName>
    <definedName name="_11_A重度研修増５．０" localSheetId="27">'[1]_11_居宅介護（名前定義）'!$C$75</definedName>
    <definedName name="_11_A重度研修増５．０" localSheetId="25">'[1]_11_居宅介護（名前定義）'!$C$75</definedName>
    <definedName name="_11_A重度研修増５．０">'_11_居宅介護（名前定義）'!$C$75</definedName>
    <definedName name="_11_A重度研修増５．０_補正">'[1]_11_居宅介護（名前定義）'!$C$416</definedName>
    <definedName name="_11_A重度研修増５．５" localSheetId="17">'[1]_11_居宅介護（名前定義）'!$C$76</definedName>
    <definedName name="_11_A重度研修増５．５" localSheetId="15">'[1]_11_居宅介護（名前定義）'!$C$76</definedName>
    <definedName name="_11_A重度研修増５．５" localSheetId="13">'[1]_11_居宅介護（名前定義）'!$C$76</definedName>
    <definedName name="_11_A重度研修増５．５" localSheetId="29">'[1]_11_居宅介護（名前定義）'!$C$76</definedName>
    <definedName name="_11_A重度研修増５．５" localSheetId="27">'[1]_11_居宅介護（名前定義）'!$C$76</definedName>
    <definedName name="_11_A重度研修増５．５" localSheetId="25">'[1]_11_居宅介護（名前定義）'!$C$76</definedName>
    <definedName name="_11_A重度研修増５．５">'_11_居宅介護（名前定義）'!$C$76</definedName>
    <definedName name="_11_A重度研修増５．５_補正">'[1]_11_居宅介護（名前定義）'!$C$417</definedName>
    <definedName name="_11_A重度研修増６．０" localSheetId="17">'[1]_11_居宅介護（名前定義）'!$C$77</definedName>
    <definedName name="_11_A重度研修増６．０" localSheetId="15">'[1]_11_居宅介護（名前定義）'!$C$77</definedName>
    <definedName name="_11_A重度研修増６．０" localSheetId="13">'[1]_11_居宅介護（名前定義）'!$C$77</definedName>
    <definedName name="_11_A重度研修増６．０" localSheetId="29">'[1]_11_居宅介護（名前定義）'!$C$77</definedName>
    <definedName name="_11_A重度研修増６．０" localSheetId="27">'[1]_11_居宅介護（名前定義）'!$C$77</definedName>
    <definedName name="_11_A重度研修増６．０" localSheetId="25">'[1]_11_居宅介護（名前定義）'!$C$77</definedName>
    <definedName name="_11_A重度研修増６．０">'_11_居宅介護（名前定義）'!$C$77</definedName>
    <definedName name="_11_A重度研修増６．０_補正">'[1]_11_居宅介護（名前定義）'!$C$418</definedName>
    <definedName name="_11_A重度研修増６．５" localSheetId="17">'[1]_11_居宅介護（名前定義）'!$C$78</definedName>
    <definedName name="_11_A重度研修増６．５" localSheetId="15">'[1]_11_居宅介護（名前定義）'!$C$78</definedName>
    <definedName name="_11_A重度研修増６．５" localSheetId="13">'[1]_11_居宅介護（名前定義）'!$C$78</definedName>
    <definedName name="_11_A重度研修増６．５" localSheetId="29">'[1]_11_居宅介護（名前定義）'!$C$78</definedName>
    <definedName name="_11_A重度研修増６．５" localSheetId="27">'[1]_11_居宅介護（名前定義）'!$C$78</definedName>
    <definedName name="_11_A重度研修増６．５" localSheetId="25">'[1]_11_居宅介護（名前定義）'!$C$78</definedName>
    <definedName name="_11_A重度研修増６．５">'_11_居宅介護（名前定義）'!$C$78</definedName>
    <definedName name="_11_A重度研修増６．５_補正">'[1]_11_居宅介護（名前定義）'!$C$419</definedName>
    <definedName name="_11_A重度研修増７．０" localSheetId="17">'[1]_11_居宅介護（名前定義）'!$C$79</definedName>
    <definedName name="_11_A重度研修増７．０" localSheetId="15">'[1]_11_居宅介護（名前定義）'!$C$79</definedName>
    <definedName name="_11_A重度研修増７．０" localSheetId="13">'[1]_11_居宅介護（名前定義）'!$C$79</definedName>
    <definedName name="_11_A重度研修増７．０" localSheetId="29">'[1]_11_居宅介護（名前定義）'!$C$79</definedName>
    <definedName name="_11_A重度研修増７．０" localSheetId="27">'[1]_11_居宅介護（名前定義）'!$C$79</definedName>
    <definedName name="_11_A重度研修増７．０" localSheetId="25">'[1]_11_居宅介護（名前定義）'!$C$79</definedName>
    <definedName name="_11_A重度研修増７．０">'_11_居宅介護（名前定義）'!$C$79</definedName>
    <definedName name="_11_A重度研修増７．０_補正">'[1]_11_居宅介護（名前定義）'!$C$420</definedName>
    <definedName name="_11_A重度研修増７．５" localSheetId="17">'[1]_11_居宅介護（名前定義）'!$C$80</definedName>
    <definedName name="_11_A重度研修増７．５" localSheetId="15">'[1]_11_居宅介護（名前定義）'!$C$80</definedName>
    <definedName name="_11_A重度研修増７．５" localSheetId="13">'[1]_11_居宅介護（名前定義）'!$C$80</definedName>
    <definedName name="_11_A重度研修増７．５" localSheetId="29">'[1]_11_居宅介護（名前定義）'!$C$80</definedName>
    <definedName name="_11_A重度研修増７．５" localSheetId="27">'[1]_11_居宅介護（名前定義）'!$C$80</definedName>
    <definedName name="_11_A重度研修増７．５" localSheetId="25">'[1]_11_居宅介護（名前定義）'!$C$80</definedName>
    <definedName name="_11_A重度研修増７．５">'_11_居宅介護（名前定義）'!$C$80</definedName>
    <definedName name="_11_A重度研修増７．５_補正">'[1]_11_居宅介護（名前定義）'!$C$421</definedName>
    <definedName name="_11_A重度研修増８．０" localSheetId="17">'[1]_11_居宅介護（名前定義）'!$C$81</definedName>
    <definedName name="_11_A重度研修増８．０" localSheetId="15">'[1]_11_居宅介護（名前定義）'!$C$81</definedName>
    <definedName name="_11_A重度研修増８．０" localSheetId="13">'[1]_11_居宅介護（名前定義）'!$C$81</definedName>
    <definedName name="_11_A重度研修増８．０" localSheetId="29">'[1]_11_居宅介護（名前定義）'!$C$81</definedName>
    <definedName name="_11_A重度研修増８．０" localSheetId="27">'[1]_11_居宅介護（名前定義）'!$C$81</definedName>
    <definedName name="_11_A重度研修増８．０" localSheetId="25">'[1]_11_居宅介護（名前定義）'!$C$81</definedName>
    <definedName name="_11_A重度研修増８．０">'_11_居宅介護（名前定義）'!$C$81</definedName>
    <definedName name="_11_A重度研修増８．０_補正">'[1]_11_居宅介護（名前定義）'!$C$422</definedName>
    <definedName name="_11_A重度研修増８．５" localSheetId="17">'[1]_11_居宅介護（名前定義）'!$C$82</definedName>
    <definedName name="_11_A重度研修増８．５" localSheetId="15">'[1]_11_居宅介護（名前定義）'!$C$82</definedName>
    <definedName name="_11_A重度研修増８．５" localSheetId="13">'[1]_11_居宅介護（名前定義）'!$C$82</definedName>
    <definedName name="_11_A重度研修増８．５" localSheetId="29">'[1]_11_居宅介護（名前定義）'!$C$82</definedName>
    <definedName name="_11_A重度研修増８．５" localSheetId="27">'[1]_11_居宅介護（名前定義）'!$C$82</definedName>
    <definedName name="_11_A重度研修増８．５" localSheetId="25">'[1]_11_居宅介護（名前定義）'!$C$82</definedName>
    <definedName name="_11_A重度研修増８．５">'_11_居宅介護（名前定義）'!$C$82</definedName>
    <definedName name="_11_A重度研修増８．５_補正">'[1]_11_居宅介護（名前定義）'!$C$423</definedName>
    <definedName name="_11_A重度研修増９．０" localSheetId="17">'[1]_11_居宅介護（名前定義）'!$C$83</definedName>
    <definedName name="_11_A重度研修増９．０" localSheetId="15">'[1]_11_居宅介護（名前定義）'!$C$83</definedName>
    <definedName name="_11_A重度研修増９．０" localSheetId="13">'[1]_11_居宅介護（名前定義）'!$C$83</definedName>
    <definedName name="_11_A重度研修増９．０" localSheetId="29">'[1]_11_居宅介護（名前定義）'!$C$83</definedName>
    <definedName name="_11_A重度研修増９．０" localSheetId="27">'[1]_11_居宅介護（名前定義）'!$C$83</definedName>
    <definedName name="_11_A重度研修増９．０" localSheetId="25">'[1]_11_居宅介護（名前定義）'!$C$83</definedName>
    <definedName name="_11_A重度研修増９．０">'_11_居宅介護（名前定義）'!$C$83</definedName>
    <definedName name="_11_A重度研修増９．０_補正">'[1]_11_居宅介護（名前定義）'!$C$424</definedName>
    <definedName name="_11_A重度研修増９．５" localSheetId="17">'[1]_11_居宅介護（名前定義）'!$C$84</definedName>
    <definedName name="_11_A重度研修増９．５" localSheetId="15">'[1]_11_居宅介護（名前定義）'!$C$84</definedName>
    <definedName name="_11_A重度研修増９．５" localSheetId="13">'[1]_11_居宅介護（名前定義）'!$C$84</definedName>
    <definedName name="_11_A重度研修増９．５" localSheetId="29">'[1]_11_居宅介護（名前定義）'!$C$84</definedName>
    <definedName name="_11_A重度研修増９．５" localSheetId="27">'[1]_11_居宅介護（名前定義）'!$C$84</definedName>
    <definedName name="_11_A重度研修増９．５" localSheetId="25">'[1]_11_居宅介護（名前定義）'!$C$84</definedName>
    <definedName name="_11_A重度研修増９．５">'_11_居宅介護（名前定義）'!$C$84</definedName>
    <definedName name="_11_A重度研修増９．５_補正">'[1]_11_居宅介護（名前定義）'!$C$425</definedName>
    <definedName name="_11_A身体０．５" localSheetId="17">'[1]_11_居宅介護（名前定義）'!$C$4</definedName>
    <definedName name="_11_A身体０．５" localSheetId="15">'[1]_11_居宅介護（名前定義）'!$C$4</definedName>
    <definedName name="_11_A身体０．５" localSheetId="13">'[1]_11_居宅介護（名前定義）'!$C$4</definedName>
    <definedName name="_11_A身体０．５" localSheetId="29">'[1]_11_居宅介護（名前定義）'!$C$4</definedName>
    <definedName name="_11_A身体０．５" localSheetId="27">'[1]_11_居宅介護（名前定義）'!$C$4</definedName>
    <definedName name="_11_A身体０．５" localSheetId="25">'[1]_11_居宅介護（名前定義）'!$C$4</definedName>
    <definedName name="_11_A身体０．５">'_11_居宅介護（名前定義）'!$C$4</definedName>
    <definedName name="_11_A身体１．０" localSheetId="17">'[1]_11_居宅介護（名前定義）'!$C$5</definedName>
    <definedName name="_11_A身体１．０" localSheetId="15">'[1]_11_居宅介護（名前定義）'!$C$5</definedName>
    <definedName name="_11_A身体１．０" localSheetId="13">'[1]_11_居宅介護（名前定義）'!$C$5</definedName>
    <definedName name="_11_A身体１．０" localSheetId="29">'[1]_11_居宅介護（名前定義）'!$C$5</definedName>
    <definedName name="_11_A身体１．０" localSheetId="27">'[1]_11_居宅介護（名前定義）'!$C$5</definedName>
    <definedName name="_11_A身体１．０" localSheetId="25">'[1]_11_居宅介護（名前定義）'!$C$5</definedName>
    <definedName name="_11_A身体１．０">'_11_居宅介護（名前定義）'!$C$5</definedName>
    <definedName name="_11_A身体１．５" localSheetId="17">'[1]_11_居宅介護（名前定義）'!$C$6</definedName>
    <definedName name="_11_A身体１．５" localSheetId="15">'[1]_11_居宅介護（名前定義）'!$C$6</definedName>
    <definedName name="_11_A身体１．５" localSheetId="13">'[1]_11_居宅介護（名前定義）'!$C$6</definedName>
    <definedName name="_11_A身体１．５" localSheetId="29">'[1]_11_居宅介護（名前定義）'!$C$6</definedName>
    <definedName name="_11_A身体１．５" localSheetId="27">'[1]_11_居宅介護（名前定義）'!$C$6</definedName>
    <definedName name="_11_A身体１．５" localSheetId="25">'[1]_11_居宅介護（名前定義）'!$C$6</definedName>
    <definedName name="_11_A身体１．５">'_11_居宅介護（名前定義）'!$C$6</definedName>
    <definedName name="_11_A身体１０．０" localSheetId="17">'[1]_11_居宅介護（名前定義）'!$C$23</definedName>
    <definedName name="_11_A身体１０．０" localSheetId="15">'[1]_11_居宅介護（名前定義）'!$C$23</definedName>
    <definedName name="_11_A身体１０．０" localSheetId="13">'[1]_11_居宅介護（名前定義）'!$C$23</definedName>
    <definedName name="_11_A身体１０．０" localSheetId="29">'[1]_11_居宅介護（名前定義）'!$C$23</definedName>
    <definedName name="_11_A身体１０．０" localSheetId="27">'[1]_11_居宅介護（名前定義）'!$C$23</definedName>
    <definedName name="_11_A身体１０．０" localSheetId="25">'[1]_11_居宅介護（名前定義）'!$C$23</definedName>
    <definedName name="_11_A身体１０．０">'_11_居宅介護（名前定義）'!$C$23</definedName>
    <definedName name="_11_A身体１０．５" localSheetId="17">'[1]_11_居宅介護（名前定義）'!$C$24</definedName>
    <definedName name="_11_A身体１０．５" localSheetId="15">'[1]_11_居宅介護（名前定義）'!$C$24</definedName>
    <definedName name="_11_A身体１０．５" localSheetId="13">'[1]_11_居宅介護（名前定義）'!$C$24</definedName>
    <definedName name="_11_A身体１０．５" localSheetId="29">'[1]_11_居宅介護（名前定義）'!$C$24</definedName>
    <definedName name="_11_A身体１０．５" localSheetId="27">'[1]_11_居宅介護（名前定義）'!$C$24</definedName>
    <definedName name="_11_A身体１０．５" localSheetId="25">'[1]_11_居宅介護（名前定義）'!$C$24</definedName>
    <definedName name="_11_A身体１０．５">'_11_居宅介護（名前定義）'!$C$24</definedName>
    <definedName name="_11_A身体２．０" localSheetId="17">'[1]_11_居宅介護（名前定義）'!$C$7</definedName>
    <definedName name="_11_A身体２．０" localSheetId="15">'[1]_11_居宅介護（名前定義）'!$C$7</definedName>
    <definedName name="_11_A身体２．０" localSheetId="13">'[1]_11_居宅介護（名前定義）'!$C$7</definedName>
    <definedName name="_11_A身体２．０" localSheetId="29">'[1]_11_居宅介護（名前定義）'!$C$7</definedName>
    <definedName name="_11_A身体２．０" localSheetId="27">'[1]_11_居宅介護（名前定義）'!$C$7</definedName>
    <definedName name="_11_A身体２．０" localSheetId="25">'[1]_11_居宅介護（名前定義）'!$C$7</definedName>
    <definedName name="_11_A身体２．０">'_11_居宅介護（名前定義）'!$C$7</definedName>
    <definedName name="_11_A身体２．５" localSheetId="17">'[1]_11_居宅介護（名前定義）'!$C$8</definedName>
    <definedName name="_11_A身体２．５" localSheetId="15">'[1]_11_居宅介護（名前定義）'!$C$8</definedName>
    <definedName name="_11_A身体２．５" localSheetId="13">'[1]_11_居宅介護（名前定義）'!$C$8</definedName>
    <definedName name="_11_A身体２．５" localSheetId="29">'[1]_11_居宅介護（名前定義）'!$C$8</definedName>
    <definedName name="_11_A身体２．５" localSheetId="27">'[1]_11_居宅介護（名前定義）'!$C$8</definedName>
    <definedName name="_11_A身体２．５" localSheetId="25">'[1]_11_居宅介護（名前定義）'!$C$8</definedName>
    <definedName name="_11_A身体２．５">'_11_居宅介護（名前定義）'!$C$8</definedName>
    <definedName name="_11_A身体３．０" localSheetId="17">'[1]_11_居宅介護（名前定義）'!$C$9</definedName>
    <definedName name="_11_A身体３．０" localSheetId="15">'[1]_11_居宅介護（名前定義）'!$C$9</definedName>
    <definedName name="_11_A身体３．０" localSheetId="13">'[1]_11_居宅介護（名前定義）'!$C$9</definedName>
    <definedName name="_11_A身体３．０" localSheetId="29">'[1]_11_居宅介護（名前定義）'!$C$9</definedName>
    <definedName name="_11_A身体３．０" localSheetId="27">'[1]_11_居宅介護（名前定義）'!$C$9</definedName>
    <definedName name="_11_A身体３．０" localSheetId="25">'[1]_11_居宅介護（名前定義）'!$C$9</definedName>
    <definedName name="_11_A身体３．０">'_11_居宅介護（名前定義）'!$C$9</definedName>
    <definedName name="_11_A身体３．５" localSheetId="17">'[1]_11_居宅介護（名前定義）'!$C$10</definedName>
    <definedName name="_11_A身体３．５" localSheetId="15">'[1]_11_居宅介護（名前定義）'!$C$10</definedName>
    <definedName name="_11_A身体３．５" localSheetId="13">'[1]_11_居宅介護（名前定義）'!$C$10</definedName>
    <definedName name="_11_A身体３．５" localSheetId="29">'[1]_11_居宅介護（名前定義）'!$C$10</definedName>
    <definedName name="_11_A身体３．５" localSheetId="27">'[1]_11_居宅介護（名前定義）'!$C$10</definedName>
    <definedName name="_11_A身体３．５" localSheetId="25">'[1]_11_居宅介護（名前定義）'!$C$10</definedName>
    <definedName name="_11_A身体３．５">'_11_居宅介護（名前定義）'!$C$10</definedName>
    <definedName name="_11_A身体４．０" localSheetId="17">'[1]_11_居宅介護（名前定義）'!$C$11</definedName>
    <definedName name="_11_A身体４．０" localSheetId="15">'[1]_11_居宅介護（名前定義）'!$C$11</definedName>
    <definedName name="_11_A身体４．０" localSheetId="13">'[1]_11_居宅介護（名前定義）'!$C$11</definedName>
    <definedName name="_11_A身体４．０" localSheetId="29">'[1]_11_居宅介護（名前定義）'!$C$11</definedName>
    <definedName name="_11_A身体４．０" localSheetId="27">'[1]_11_居宅介護（名前定義）'!$C$11</definedName>
    <definedName name="_11_A身体４．０" localSheetId="25">'[1]_11_居宅介護（名前定義）'!$C$11</definedName>
    <definedName name="_11_A身体４．０">'_11_居宅介護（名前定義）'!$C$11</definedName>
    <definedName name="_11_A身体４．５" localSheetId="17">'[1]_11_居宅介護（名前定義）'!$C$12</definedName>
    <definedName name="_11_A身体４．５" localSheetId="15">'[1]_11_居宅介護（名前定義）'!$C$12</definedName>
    <definedName name="_11_A身体４．５" localSheetId="13">'[1]_11_居宅介護（名前定義）'!$C$12</definedName>
    <definedName name="_11_A身体４．５" localSheetId="29">'[1]_11_居宅介護（名前定義）'!$C$12</definedName>
    <definedName name="_11_A身体４．５" localSheetId="27">'[1]_11_居宅介護（名前定義）'!$C$12</definedName>
    <definedName name="_11_A身体４．５" localSheetId="25">'[1]_11_居宅介護（名前定義）'!$C$12</definedName>
    <definedName name="_11_A身体４．５">'_11_居宅介護（名前定義）'!$C$12</definedName>
    <definedName name="_11_A身体５．０" localSheetId="17">'[1]_11_居宅介護（名前定義）'!$C$13</definedName>
    <definedName name="_11_A身体５．０" localSheetId="15">'[1]_11_居宅介護（名前定義）'!$C$13</definedName>
    <definedName name="_11_A身体５．０" localSheetId="13">'[1]_11_居宅介護（名前定義）'!$C$13</definedName>
    <definedName name="_11_A身体５．０" localSheetId="29">'[1]_11_居宅介護（名前定義）'!$C$13</definedName>
    <definedName name="_11_A身体５．０" localSheetId="27">'[1]_11_居宅介護（名前定義）'!$C$13</definedName>
    <definedName name="_11_A身体５．０" localSheetId="25">'[1]_11_居宅介護（名前定義）'!$C$13</definedName>
    <definedName name="_11_A身体５．０">'_11_居宅介護（名前定義）'!$C$13</definedName>
    <definedName name="_11_A身体５．５" localSheetId="17">'[1]_11_居宅介護（名前定義）'!$C$14</definedName>
    <definedName name="_11_A身体５．５" localSheetId="15">'[1]_11_居宅介護（名前定義）'!$C$14</definedName>
    <definedName name="_11_A身体５．５" localSheetId="13">'[1]_11_居宅介護（名前定義）'!$C$14</definedName>
    <definedName name="_11_A身体５．５" localSheetId="29">'[1]_11_居宅介護（名前定義）'!$C$14</definedName>
    <definedName name="_11_A身体５．５" localSheetId="27">'[1]_11_居宅介護（名前定義）'!$C$14</definedName>
    <definedName name="_11_A身体５．５" localSheetId="25">'[1]_11_居宅介護（名前定義）'!$C$14</definedName>
    <definedName name="_11_A身体５．５">'_11_居宅介護（名前定義）'!$C$14</definedName>
    <definedName name="_11_A身体６．０" localSheetId="17">'[1]_11_居宅介護（名前定義）'!$C$15</definedName>
    <definedName name="_11_A身体６．０" localSheetId="15">'[1]_11_居宅介護（名前定義）'!$C$15</definedName>
    <definedName name="_11_A身体６．０" localSheetId="13">'[1]_11_居宅介護（名前定義）'!$C$15</definedName>
    <definedName name="_11_A身体６．０" localSheetId="29">'[1]_11_居宅介護（名前定義）'!$C$15</definedName>
    <definedName name="_11_A身体６．０" localSheetId="27">'[1]_11_居宅介護（名前定義）'!$C$15</definedName>
    <definedName name="_11_A身体６．０" localSheetId="25">'[1]_11_居宅介護（名前定義）'!$C$15</definedName>
    <definedName name="_11_A身体６．０">'_11_居宅介護（名前定義）'!$C$15</definedName>
    <definedName name="_11_A身体６．５" localSheetId="17">'[1]_11_居宅介護（名前定義）'!$C$16</definedName>
    <definedName name="_11_A身体６．５" localSheetId="15">'[1]_11_居宅介護（名前定義）'!$C$16</definedName>
    <definedName name="_11_A身体６．５" localSheetId="13">'[1]_11_居宅介護（名前定義）'!$C$16</definedName>
    <definedName name="_11_A身体６．５" localSheetId="29">'[1]_11_居宅介護（名前定義）'!$C$16</definedName>
    <definedName name="_11_A身体６．５" localSheetId="27">'[1]_11_居宅介護（名前定義）'!$C$16</definedName>
    <definedName name="_11_A身体６．５" localSheetId="25">'[1]_11_居宅介護（名前定義）'!$C$16</definedName>
    <definedName name="_11_A身体６．５">'_11_居宅介護（名前定義）'!$C$16</definedName>
    <definedName name="_11_A身体７．０" localSheetId="17">'[1]_11_居宅介護（名前定義）'!$C$17</definedName>
    <definedName name="_11_A身体７．０" localSheetId="15">'[1]_11_居宅介護（名前定義）'!$C$17</definedName>
    <definedName name="_11_A身体７．０" localSheetId="13">'[1]_11_居宅介護（名前定義）'!$C$17</definedName>
    <definedName name="_11_A身体７．０" localSheetId="29">'[1]_11_居宅介護（名前定義）'!$C$17</definedName>
    <definedName name="_11_A身体７．０" localSheetId="27">'[1]_11_居宅介護（名前定義）'!$C$17</definedName>
    <definedName name="_11_A身体７．０" localSheetId="25">'[1]_11_居宅介護（名前定義）'!$C$17</definedName>
    <definedName name="_11_A身体７．０">'_11_居宅介護（名前定義）'!$C$17</definedName>
    <definedName name="_11_A身体７．５" localSheetId="17">'[1]_11_居宅介護（名前定義）'!$C$18</definedName>
    <definedName name="_11_A身体７．５" localSheetId="15">'[1]_11_居宅介護（名前定義）'!$C$18</definedName>
    <definedName name="_11_A身体７．５" localSheetId="13">'[1]_11_居宅介護（名前定義）'!$C$18</definedName>
    <definedName name="_11_A身体７．５" localSheetId="29">'[1]_11_居宅介護（名前定義）'!$C$18</definedName>
    <definedName name="_11_A身体７．５" localSheetId="27">'[1]_11_居宅介護（名前定義）'!$C$18</definedName>
    <definedName name="_11_A身体７．５" localSheetId="25">'[1]_11_居宅介護（名前定義）'!$C$18</definedName>
    <definedName name="_11_A身体７．５">'_11_居宅介護（名前定義）'!$C$18</definedName>
    <definedName name="_11_A身体８．０" localSheetId="17">'[1]_11_居宅介護（名前定義）'!$C$19</definedName>
    <definedName name="_11_A身体８．０" localSheetId="15">'[1]_11_居宅介護（名前定義）'!$C$19</definedName>
    <definedName name="_11_A身体８．０" localSheetId="13">'[1]_11_居宅介護（名前定義）'!$C$19</definedName>
    <definedName name="_11_A身体８．０" localSheetId="29">'[1]_11_居宅介護（名前定義）'!$C$19</definedName>
    <definedName name="_11_A身体８．０" localSheetId="27">'[1]_11_居宅介護（名前定義）'!$C$19</definedName>
    <definedName name="_11_A身体８．０" localSheetId="25">'[1]_11_居宅介護（名前定義）'!$C$19</definedName>
    <definedName name="_11_A身体８．０">'_11_居宅介護（名前定義）'!$C$19</definedName>
    <definedName name="_11_A身体８．５" localSheetId="17">'[1]_11_居宅介護（名前定義）'!$C$20</definedName>
    <definedName name="_11_A身体８．５" localSheetId="15">'[1]_11_居宅介護（名前定義）'!$C$20</definedName>
    <definedName name="_11_A身体８．５" localSheetId="13">'[1]_11_居宅介護（名前定義）'!$C$20</definedName>
    <definedName name="_11_A身体８．５" localSheetId="29">'[1]_11_居宅介護（名前定義）'!$C$20</definedName>
    <definedName name="_11_A身体８．５" localSheetId="27">'[1]_11_居宅介護（名前定義）'!$C$20</definedName>
    <definedName name="_11_A身体８．５" localSheetId="25">'[1]_11_居宅介護（名前定義）'!$C$20</definedName>
    <definedName name="_11_A身体８．５">'_11_居宅介護（名前定義）'!$C$20</definedName>
    <definedName name="_11_A身体９．０" localSheetId="17">'[1]_11_居宅介護（名前定義）'!$C$21</definedName>
    <definedName name="_11_A身体９．０" localSheetId="15">'[1]_11_居宅介護（名前定義）'!$C$21</definedName>
    <definedName name="_11_A身体９．０" localSheetId="13">'[1]_11_居宅介護（名前定義）'!$C$21</definedName>
    <definedName name="_11_A身体９．０" localSheetId="29">'[1]_11_居宅介護（名前定義）'!$C$21</definedName>
    <definedName name="_11_A身体９．０" localSheetId="27">'[1]_11_居宅介護（名前定義）'!$C$21</definedName>
    <definedName name="_11_A身体９．０" localSheetId="25">'[1]_11_居宅介護（名前定義）'!$C$21</definedName>
    <definedName name="_11_A身体９．０">'_11_居宅介護（名前定義）'!$C$21</definedName>
    <definedName name="_11_A身体９．５" localSheetId="17">'[1]_11_居宅介護（名前定義）'!$C$22</definedName>
    <definedName name="_11_A身体９．５" localSheetId="15">'[1]_11_居宅介護（名前定義）'!$C$22</definedName>
    <definedName name="_11_A身体９．５" localSheetId="13">'[1]_11_居宅介護（名前定義）'!$C$22</definedName>
    <definedName name="_11_A身体９．５" localSheetId="29">'[1]_11_居宅介護（名前定義）'!$C$22</definedName>
    <definedName name="_11_A身体９．５" localSheetId="27">'[1]_11_居宅介護（名前定義）'!$C$22</definedName>
    <definedName name="_11_A身体９．５" localSheetId="25">'[1]_11_居宅介護（名前定義）'!$C$22</definedName>
    <definedName name="_11_A身体９．５">'_11_居宅介護（名前定義）'!$C$22</definedName>
    <definedName name="_11_A身体増０．５" localSheetId="17">'[1]_11_居宅介護（名前定義）'!$C$25</definedName>
    <definedName name="_11_A身体増０．５" localSheetId="15">'[1]_11_居宅介護（名前定義）'!$C$25</definedName>
    <definedName name="_11_A身体増０．５" localSheetId="13">'[1]_11_居宅介護（名前定義）'!$C$25</definedName>
    <definedName name="_11_A身体増０．５" localSheetId="29">'[1]_11_居宅介護（名前定義）'!$C$25</definedName>
    <definedName name="_11_A身体増０．５" localSheetId="27">'[1]_11_居宅介護（名前定義）'!$C$25</definedName>
    <definedName name="_11_A身体増０．５" localSheetId="25">'[1]_11_居宅介護（名前定義）'!$C$25</definedName>
    <definedName name="_11_A身体増０．５">'_11_居宅介護（名前定義）'!$C$25</definedName>
    <definedName name="_11_A身体増０．５_補正">'[1]_11_居宅介護（名前定義）'!$C$386</definedName>
    <definedName name="_11_A身体増１．０" localSheetId="17">'[1]_11_居宅介護（名前定義）'!$C$26</definedName>
    <definedName name="_11_A身体増１．０" localSheetId="15">'[1]_11_居宅介護（名前定義）'!$C$26</definedName>
    <definedName name="_11_A身体増１．０" localSheetId="13">'[1]_11_居宅介護（名前定義）'!$C$26</definedName>
    <definedName name="_11_A身体増１．０" localSheetId="29">'[1]_11_居宅介護（名前定義）'!$C$26</definedName>
    <definedName name="_11_A身体増１．０" localSheetId="27">'[1]_11_居宅介護（名前定義）'!$C$26</definedName>
    <definedName name="_11_A身体増１．０" localSheetId="25">'[1]_11_居宅介護（名前定義）'!$C$26</definedName>
    <definedName name="_11_A身体増１．０">'_11_居宅介護（名前定義）'!$C$26</definedName>
    <definedName name="_11_A身体増１．０_補正">'[1]_11_居宅介護（名前定義）'!$C$387</definedName>
    <definedName name="_11_A身体増１．５" localSheetId="17">'[1]_11_居宅介護（名前定義）'!$C$27</definedName>
    <definedName name="_11_A身体増１．５" localSheetId="15">'[1]_11_居宅介護（名前定義）'!$C$27</definedName>
    <definedName name="_11_A身体増１．５" localSheetId="13">'[1]_11_居宅介護（名前定義）'!$C$27</definedName>
    <definedName name="_11_A身体増１．５" localSheetId="29">'[1]_11_居宅介護（名前定義）'!$C$27</definedName>
    <definedName name="_11_A身体増１．５" localSheetId="27">'[1]_11_居宅介護（名前定義）'!$C$27</definedName>
    <definedName name="_11_A身体増１．５" localSheetId="25">'[1]_11_居宅介護（名前定義）'!$C$27</definedName>
    <definedName name="_11_A身体増１．５">'_11_居宅介護（名前定義）'!$C$27</definedName>
    <definedName name="_11_A身体増１．５_補正">'[1]_11_居宅介護（名前定義）'!$C$388</definedName>
    <definedName name="_11_A身体増１０．０" localSheetId="17">'[1]_11_居宅介護（名前定義）'!$C$44</definedName>
    <definedName name="_11_A身体増１０．０" localSheetId="15">'[1]_11_居宅介護（名前定義）'!$C$44</definedName>
    <definedName name="_11_A身体増１０．０" localSheetId="13">'[1]_11_居宅介護（名前定義）'!$C$44</definedName>
    <definedName name="_11_A身体増１０．０" localSheetId="29">'[1]_11_居宅介護（名前定義）'!$C$44</definedName>
    <definedName name="_11_A身体増１０．０" localSheetId="27">'[1]_11_居宅介護（名前定義）'!$C$44</definedName>
    <definedName name="_11_A身体増１０．０" localSheetId="25">'[1]_11_居宅介護（名前定義）'!$C$44</definedName>
    <definedName name="_11_A身体増１０．０">'_11_居宅介護（名前定義）'!$C$44</definedName>
    <definedName name="_11_A身体増１０．０_補正">'[1]_11_居宅介護（名前定義）'!$C$405</definedName>
    <definedName name="_11_A身体増１０．５" localSheetId="17">'[1]_11_居宅介護（名前定義）'!$C$45</definedName>
    <definedName name="_11_A身体増１０．５" localSheetId="15">'[1]_11_居宅介護（名前定義）'!$C$45</definedName>
    <definedName name="_11_A身体増１０．５" localSheetId="13">'[1]_11_居宅介護（名前定義）'!$C$45</definedName>
    <definedName name="_11_A身体増１０．５" localSheetId="29">'[1]_11_居宅介護（名前定義）'!$C$45</definedName>
    <definedName name="_11_A身体増１０．５" localSheetId="27">'[1]_11_居宅介護（名前定義）'!$C$45</definedName>
    <definedName name="_11_A身体増１０．５" localSheetId="25">'[1]_11_居宅介護（名前定義）'!$C$45</definedName>
    <definedName name="_11_A身体増１０．５">'_11_居宅介護（名前定義）'!$C$45</definedName>
    <definedName name="_11_A身体増１０．５_補正">'[1]_11_居宅介護（名前定義）'!$C$406</definedName>
    <definedName name="_11_A身体増２．０" localSheetId="17">'[1]_11_居宅介護（名前定義）'!$C$28</definedName>
    <definedName name="_11_A身体増２．０" localSheetId="15">'[1]_11_居宅介護（名前定義）'!$C$28</definedName>
    <definedName name="_11_A身体増２．０" localSheetId="13">'[1]_11_居宅介護（名前定義）'!$C$28</definedName>
    <definedName name="_11_A身体増２．０" localSheetId="29">'[1]_11_居宅介護（名前定義）'!$C$28</definedName>
    <definedName name="_11_A身体増２．０" localSheetId="27">'[1]_11_居宅介護（名前定義）'!$C$28</definedName>
    <definedName name="_11_A身体増２．０" localSheetId="25">'[1]_11_居宅介護（名前定義）'!$C$28</definedName>
    <definedName name="_11_A身体増２．０">'_11_居宅介護（名前定義）'!$C$28</definedName>
    <definedName name="_11_A身体増２．０_補正">'[1]_11_居宅介護（名前定義）'!$C$389</definedName>
    <definedName name="_11_A身体増２．５" localSheetId="17">'[1]_11_居宅介護（名前定義）'!$C$29</definedName>
    <definedName name="_11_A身体増２．５" localSheetId="15">'[1]_11_居宅介護（名前定義）'!$C$29</definedName>
    <definedName name="_11_A身体増２．５" localSheetId="13">'[1]_11_居宅介護（名前定義）'!$C$29</definedName>
    <definedName name="_11_A身体増２．５" localSheetId="29">'[1]_11_居宅介護（名前定義）'!$C$29</definedName>
    <definedName name="_11_A身体増２．５" localSheetId="27">'[1]_11_居宅介護（名前定義）'!$C$29</definedName>
    <definedName name="_11_A身体増２．５" localSheetId="25">'[1]_11_居宅介護（名前定義）'!$C$29</definedName>
    <definedName name="_11_A身体増２．５">'_11_居宅介護（名前定義）'!$C$29</definedName>
    <definedName name="_11_A身体増２．５_補正">'[1]_11_居宅介護（名前定義）'!$C$390</definedName>
    <definedName name="_11_A身体増３．０" localSheetId="17">'[1]_11_居宅介護（名前定義）'!$C$30</definedName>
    <definedName name="_11_A身体増３．０" localSheetId="15">'[1]_11_居宅介護（名前定義）'!$C$30</definedName>
    <definedName name="_11_A身体増３．０" localSheetId="13">'[1]_11_居宅介護（名前定義）'!$C$30</definedName>
    <definedName name="_11_A身体増３．０" localSheetId="29">'[1]_11_居宅介護（名前定義）'!$C$30</definedName>
    <definedName name="_11_A身体増３．０" localSheetId="27">'[1]_11_居宅介護（名前定義）'!$C$30</definedName>
    <definedName name="_11_A身体増３．０" localSheetId="25">'[1]_11_居宅介護（名前定義）'!$C$30</definedName>
    <definedName name="_11_A身体増３．０">'_11_居宅介護（名前定義）'!$C$30</definedName>
    <definedName name="_11_A身体増３．０_補正">'[1]_11_居宅介護（名前定義）'!$C$391</definedName>
    <definedName name="_11_A身体増３．５" localSheetId="17">'[1]_11_居宅介護（名前定義）'!$C$31</definedName>
    <definedName name="_11_A身体増３．５" localSheetId="15">'[1]_11_居宅介護（名前定義）'!$C$31</definedName>
    <definedName name="_11_A身体増３．５" localSheetId="13">'[1]_11_居宅介護（名前定義）'!$C$31</definedName>
    <definedName name="_11_A身体増３．５" localSheetId="29">'[1]_11_居宅介護（名前定義）'!$C$31</definedName>
    <definedName name="_11_A身体増３．５" localSheetId="27">'[1]_11_居宅介護（名前定義）'!$C$31</definedName>
    <definedName name="_11_A身体増３．５" localSheetId="25">'[1]_11_居宅介護（名前定義）'!$C$31</definedName>
    <definedName name="_11_A身体増３．５">'_11_居宅介護（名前定義）'!$C$31</definedName>
    <definedName name="_11_A身体増３．５_補正">'[1]_11_居宅介護（名前定義）'!$C$392</definedName>
    <definedName name="_11_A身体増４．０" localSheetId="17">'[1]_11_居宅介護（名前定義）'!$C$32</definedName>
    <definedName name="_11_A身体増４．０" localSheetId="15">'[1]_11_居宅介護（名前定義）'!$C$32</definedName>
    <definedName name="_11_A身体増４．０" localSheetId="13">'[1]_11_居宅介護（名前定義）'!$C$32</definedName>
    <definedName name="_11_A身体増４．０" localSheetId="29">'[1]_11_居宅介護（名前定義）'!$C$32</definedName>
    <definedName name="_11_A身体増４．０" localSheetId="27">'[1]_11_居宅介護（名前定義）'!$C$32</definedName>
    <definedName name="_11_A身体増４．０" localSheetId="25">'[1]_11_居宅介護（名前定義）'!$C$32</definedName>
    <definedName name="_11_A身体増４．０">'_11_居宅介護（名前定義）'!$C$32</definedName>
    <definedName name="_11_A身体増４．０_補正">'[1]_11_居宅介護（名前定義）'!$C$393</definedName>
    <definedName name="_11_A身体増４．５" localSheetId="17">'[1]_11_居宅介護（名前定義）'!$C$33</definedName>
    <definedName name="_11_A身体増４．５" localSheetId="15">'[1]_11_居宅介護（名前定義）'!$C$33</definedName>
    <definedName name="_11_A身体増４．５" localSheetId="13">'[1]_11_居宅介護（名前定義）'!$C$33</definedName>
    <definedName name="_11_A身体増４．５" localSheetId="29">'[1]_11_居宅介護（名前定義）'!$C$33</definedName>
    <definedName name="_11_A身体増４．５" localSheetId="27">'[1]_11_居宅介護（名前定義）'!$C$33</definedName>
    <definedName name="_11_A身体増４．５" localSheetId="25">'[1]_11_居宅介護（名前定義）'!$C$33</definedName>
    <definedName name="_11_A身体増４．５">'_11_居宅介護（名前定義）'!$C$33</definedName>
    <definedName name="_11_A身体増４．５_補正">'[1]_11_居宅介護（名前定義）'!$C$394</definedName>
    <definedName name="_11_A身体増５．０" localSheetId="17">'[1]_11_居宅介護（名前定義）'!$C$34</definedName>
    <definedName name="_11_A身体増５．０" localSheetId="15">'[1]_11_居宅介護（名前定義）'!$C$34</definedName>
    <definedName name="_11_A身体増５．０" localSheetId="13">'[1]_11_居宅介護（名前定義）'!$C$34</definedName>
    <definedName name="_11_A身体増５．０" localSheetId="29">'[1]_11_居宅介護（名前定義）'!$C$34</definedName>
    <definedName name="_11_A身体増５．０" localSheetId="27">'[1]_11_居宅介護（名前定義）'!$C$34</definedName>
    <definedName name="_11_A身体増５．０" localSheetId="25">'[1]_11_居宅介護（名前定義）'!$C$34</definedName>
    <definedName name="_11_A身体増５．０">'_11_居宅介護（名前定義）'!$C$34</definedName>
    <definedName name="_11_A身体増５．０_補正">'[1]_11_居宅介護（名前定義）'!$C$395</definedName>
    <definedName name="_11_A身体増５．５" localSheetId="17">'[1]_11_居宅介護（名前定義）'!$C$35</definedName>
    <definedName name="_11_A身体増５．５" localSheetId="15">'[1]_11_居宅介護（名前定義）'!$C$35</definedName>
    <definedName name="_11_A身体増５．５" localSheetId="13">'[1]_11_居宅介護（名前定義）'!$C$35</definedName>
    <definedName name="_11_A身体増５．５" localSheetId="29">'[1]_11_居宅介護（名前定義）'!$C$35</definedName>
    <definedName name="_11_A身体増５．５" localSheetId="27">'[1]_11_居宅介護（名前定義）'!$C$35</definedName>
    <definedName name="_11_A身体増５．５" localSheetId="25">'[1]_11_居宅介護（名前定義）'!$C$35</definedName>
    <definedName name="_11_A身体増５．５">'_11_居宅介護（名前定義）'!$C$35</definedName>
    <definedName name="_11_A身体増５．５_補正">'[1]_11_居宅介護（名前定義）'!$C$396</definedName>
    <definedName name="_11_A身体増６．０" localSheetId="17">'[1]_11_居宅介護（名前定義）'!$C$36</definedName>
    <definedName name="_11_A身体増６．０" localSheetId="15">'[1]_11_居宅介護（名前定義）'!$C$36</definedName>
    <definedName name="_11_A身体増６．０" localSheetId="13">'[1]_11_居宅介護（名前定義）'!$C$36</definedName>
    <definedName name="_11_A身体増６．０" localSheetId="29">'[1]_11_居宅介護（名前定義）'!$C$36</definedName>
    <definedName name="_11_A身体増６．０" localSheetId="27">'[1]_11_居宅介護（名前定義）'!$C$36</definedName>
    <definedName name="_11_A身体増６．０" localSheetId="25">'[1]_11_居宅介護（名前定義）'!$C$36</definedName>
    <definedName name="_11_A身体増６．０">'_11_居宅介護（名前定義）'!$C$36</definedName>
    <definedName name="_11_A身体増６．０_補正">'[1]_11_居宅介護（名前定義）'!$C$397</definedName>
    <definedName name="_11_A身体増６．５" localSheetId="17">'[1]_11_居宅介護（名前定義）'!$C$37</definedName>
    <definedName name="_11_A身体増６．５" localSheetId="15">'[1]_11_居宅介護（名前定義）'!$C$37</definedName>
    <definedName name="_11_A身体増６．５" localSheetId="13">'[1]_11_居宅介護（名前定義）'!$C$37</definedName>
    <definedName name="_11_A身体増６．５" localSheetId="29">'[1]_11_居宅介護（名前定義）'!$C$37</definedName>
    <definedName name="_11_A身体増６．５" localSheetId="27">'[1]_11_居宅介護（名前定義）'!$C$37</definedName>
    <definedName name="_11_A身体増６．５" localSheetId="25">'[1]_11_居宅介護（名前定義）'!$C$37</definedName>
    <definedName name="_11_A身体増６．５">'_11_居宅介護（名前定義）'!$C$37</definedName>
    <definedName name="_11_A身体増６．５_補正">'[1]_11_居宅介護（名前定義）'!$C$398</definedName>
    <definedName name="_11_A身体増７．０" localSheetId="17">'[1]_11_居宅介護（名前定義）'!$C$38</definedName>
    <definedName name="_11_A身体増７．０" localSheetId="15">'[1]_11_居宅介護（名前定義）'!$C$38</definedName>
    <definedName name="_11_A身体増７．０" localSheetId="13">'[1]_11_居宅介護（名前定義）'!$C$38</definedName>
    <definedName name="_11_A身体増７．０" localSheetId="29">'[1]_11_居宅介護（名前定義）'!$C$38</definedName>
    <definedName name="_11_A身体増７．０" localSheetId="27">'[1]_11_居宅介護（名前定義）'!$C$38</definedName>
    <definedName name="_11_A身体増７．０" localSheetId="25">'[1]_11_居宅介護（名前定義）'!$C$38</definedName>
    <definedName name="_11_A身体増７．０">'_11_居宅介護（名前定義）'!$C$38</definedName>
    <definedName name="_11_A身体増７．０_補正">'[1]_11_居宅介護（名前定義）'!$C$399</definedName>
    <definedName name="_11_A身体増７．５" localSheetId="17">'[1]_11_居宅介護（名前定義）'!$C$39</definedName>
    <definedName name="_11_A身体増７．５" localSheetId="15">'[1]_11_居宅介護（名前定義）'!$C$39</definedName>
    <definedName name="_11_A身体増７．５" localSheetId="13">'[1]_11_居宅介護（名前定義）'!$C$39</definedName>
    <definedName name="_11_A身体増７．５" localSheetId="29">'[1]_11_居宅介護（名前定義）'!$C$39</definedName>
    <definedName name="_11_A身体増７．５" localSheetId="27">'[1]_11_居宅介護（名前定義）'!$C$39</definedName>
    <definedName name="_11_A身体増７．５" localSheetId="25">'[1]_11_居宅介護（名前定義）'!$C$39</definedName>
    <definedName name="_11_A身体増７．５">'_11_居宅介護（名前定義）'!$C$39</definedName>
    <definedName name="_11_A身体増７．５_補正">'[1]_11_居宅介護（名前定義）'!$C$400</definedName>
    <definedName name="_11_A身体増８．０" localSheetId="17">'[1]_11_居宅介護（名前定義）'!$C$40</definedName>
    <definedName name="_11_A身体増８．０" localSheetId="15">'[1]_11_居宅介護（名前定義）'!$C$40</definedName>
    <definedName name="_11_A身体増８．０" localSheetId="13">'[1]_11_居宅介護（名前定義）'!$C$40</definedName>
    <definedName name="_11_A身体増８．０" localSheetId="29">'[1]_11_居宅介護（名前定義）'!$C$40</definedName>
    <definedName name="_11_A身体増８．０" localSheetId="27">'[1]_11_居宅介護（名前定義）'!$C$40</definedName>
    <definedName name="_11_A身体増８．０" localSheetId="25">'[1]_11_居宅介護（名前定義）'!$C$40</definedName>
    <definedName name="_11_A身体増８．０">'_11_居宅介護（名前定義）'!$C$40</definedName>
    <definedName name="_11_A身体増８．０_補正">'[1]_11_居宅介護（名前定義）'!$C$401</definedName>
    <definedName name="_11_A身体増８．５" localSheetId="17">'[1]_11_居宅介護（名前定義）'!$C$41</definedName>
    <definedName name="_11_A身体増８．５" localSheetId="15">'[1]_11_居宅介護（名前定義）'!$C$41</definedName>
    <definedName name="_11_A身体増８．５" localSheetId="13">'[1]_11_居宅介護（名前定義）'!$C$41</definedName>
    <definedName name="_11_A身体増８．５" localSheetId="29">'[1]_11_居宅介護（名前定義）'!$C$41</definedName>
    <definedName name="_11_A身体増８．５" localSheetId="27">'[1]_11_居宅介護（名前定義）'!$C$41</definedName>
    <definedName name="_11_A身体増８．５" localSheetId="25">'[1]_11_居宅介護（名前定義）'!$C$41</definedName>
    <definedName name="_11_A身体増８．５">'_11_居宅介護（名前定義）'!$C$41</definedName>
    <definedName name="_11_A身体増８．５_補正">'[1]_11_居宅介護（名前定義）'!$C$402</definedName>
    <definedName name="_11_A身体増９．０" localSheetId="17">'[1]_11_居宅介護（名前定義）'!$C$42</definedName>
    <definedName name="_11_A身体増９．０" localSheetId="15">'[1]_11_居宅介護（名前定義）'!$C$42</definedName>
    <definedName name="_11_A身体増９．０" localSheetId="13">'[1]_11_居宅介護（名前定義）'!$C$42</definedName>
    <definedName name="_11_A身体増９．０" localSheetId="29">'[1]_11_居宅介護（名前定義）'!$C$42</definedName>
    <definedName name="_11_A身体増９．０" localSheetId="27">'[1]_11_居宅介護（名前定義）'!$C$42</definedName>
    <definedName name="_11_A身体増９．０" localSheetId="25">'[1]_11_居宅介護（名前定義）'!$C$42</definedName>
    <definedName name="_11_A身体増９．０">'_11_居宅介護（名前定義）'!$C$42</definedName>
    <definedName name="_11_A身体増９．０_補正">'[1]_11_居宅介護（名前定義）'!$C$403</definedName>
    <definedName name="_11_A身体増９．５" localSheetId="17">'[1]_11_居宅介護（名前定義）'!$C$43</definedName>
    <definedName name="_11_A身体増９．５" localSheetId="15">'[1]_11_居宅介護（名前定義）'!$C$43</definedName>
    <definedName name="_11_A身体増９．５" localSheetId="13">'[1]_11_居宅介護（名前定義）'!$C$43</definedName>
    <definedName name="_11_A身体増９．５" localSheetId="29">'[1]_11_居宅介護（名前定義）'!$C$43</definedName>
    <definedName name="_11_A身体増９．５" localSheetId="27">'[1]_11_居宅介護（名前定義）'!$C$43</definedName>
    <definedName name="_11_A身体増９．５" localSheetId="25">'[1]_11_居宅介護（名前定義）'!$C$43</definedName>
    <definedName name="_11_A身体増９．５">'_11_居宅介護（名前定義）'!$C$43</definedName>
    <definedName name="_11_A身体増９．５_補正">'[1]_11_居宅介護（名前定義）'!$C$404</definedName>
    <definedName name="_11_A通院１０．５" localSheetId="17">'[1]_11_居宅介護（名前定義）'!$C$87</definedName>
    <definedName name="_11_A通院１０．５" localSheetId="15">'[1]_11_居宅介護（名前定義）'!$C$87</definedName>
    <definedName name="_11_A通院１０．５" localSheetId="13">'[1]_11_居宅介護（名前定義）'!$C$87</definedName>
    <definedName name="_11_A通院１０．５" localSheetId="29">'[1]_11_居宅介護（名前定義）'!$C$87</definedName>
    <definedName name="_11_A通院１０．５" localSheetId="27">'[1]_11_居宅介護（名前定義）'!$C$87</definedName>
    <definedName name="_11_A通院１０．５" localSheetId="25">'[1]_11_居宅介護（名前定義）'!$C$87</definedName>
    <definedName name="_11_A通院１０．５">'_11_居宅介護（名前定義）'!$C$87</definedName>
    <definedName name="_11_A通院１１．０" localSheetId="17">'[1]_11_居宅介護（名前定義）'!$C$88</definedName>
    <definedName name="_11_A通院１１．０" localSheetId="15">'[1]_11_居宅介護（名前定義）'!$C$88</definedName>
    <definedName name="_11_A通院１１．０" localSheetId="13">'[1]_11_居宅介護（名前定義）'!$C$88</definedName>
    <definedName name="_11_A通院１１．０" localSheetId="29">'[1]_11_居宅介護（名前定義）'!$C$88</definedName>
    <definedName name="_11_A通院１１．０" localSheetId="27">'[1]_11_居宅介護（名前定義）'!$C$88</definedName>
    <definedName name="_11_A通院１１．０" localSheetId="25">'[1]_11_居宅介護（名前定義）'!$C$88</definedName>
    <definedName name="_11_A通院１１．０">'_11_居宅介護（名前定義）'!$C$88</definedName>
    <definedName name="_11_A通院１１．５" localSheetId="17">'[1]_11_居宅介護（名前定義）'!$C$89</definedName>
    <definedName name="_11_A通院１１．５" localSheetId="15">'[1]_11_居宅介護（名前定義）'!$C$89</definedName>
    <definedName name="_11_A通院１１．５" localSheetId="13">'[1]_11_居宅介護（名前定義）'!$C$89</definedName>
    <definedName name="_11_A通院１１．５" localSheetId="29">'[1]_11_居宅介護（名前定義）'!$C$89</definedName>
    <definedName name="_11_A通院１１．５" localSheetId="27">'[1]_11_居宅介護（名前定義）'!$C$89</definedName>
    <definedName name="_11_A通院１１．５" localSheetId="25">'[1]_11_居宅介護（名前定義）'!$C$89</definedName>
    <definedName name="_11_A通院１１．５">'_11_居宅介護（名前定義）'!$C$89</definedName>
    <definedName name="_11_A通院１１０．０" localSheetId="17">'[1]_11_居宅介護（名前定義）'!$C$106</definedName>
    <definedName name="_11_A通院１１０．０" localSheetId="15">'[1]_11_居宅介護（名前定義）'!$C$106</definedName>
    <definedName name="_11_A通院１１０．０" localSheetId="13">'[1]_11_居宅介護（名前定義）'!$C$106</definedName>
    <definedName name="_11_A通院１１０．０" localSheetId="29">'[1]_11_居宅介護（名前定義）'!$C$106</definedName>
    <definedName name="_11_A通院１１０．０" localSheetId="27">'[1]_11_居宅介護（名前定義）'!$C$106</definedName>
    <definedName name="_11_A通院１１０．０" localSheetId="25">'[1]_11_居宅介護（名前定義）'!$C$106</definedName>
    <definedName name="_11_A通院１１０．０">'_11_居宅介護（名前定義）'!$C$106</definedName>
    <definedName name="_11_A通院１１０．５" localSheetId="17">'[1]_11_居宅介護（名前定義）'!$C$107</definedName>
    <definedName name="_11_A通院１１０．５" localSheetId="15">'[1]_11_居宅介護（名前定義）'!$C$107</definedName>
    <definedName name="_11_A通院１１０．５" localSheetId="13">'[1]_11_居宅介護（名前定義）'!$C$107</definedName>
    <definedName name="_11_A通院１１０．５" localSheetId="29">'[1]_11_居宅介護（名前定義）'!$C$107</definedName>
    <definedName name="_11_A通院１１０．５" localSheetId="27">'[1]_11_居宅介護（名前定義）'!$C$107</definedName>
    <definedName name="_11_A通院１１０．５" localSheetId="25">'[1]_11_居宅介護（名前定義）'!$C$107</definedName>
    <definedName name="_11_A通院１１０．５">'_11_居宅介護（名前定義）'!$C$107</definedName>
    <definedName name="_11_A通院１２．０" localSheetId="17">'[1]_11_居宅介護（名前定義）'!$C$90</definedName>
    <definedName name="_11_A通院１２．０" localSheetId="15">'[1]_11_居宅介護（名前定義）'!$C$90</definedName>
    <definedName name="_11_A通院１２．０" localSheetId="13">'[1]_11_居宅介護（名前定義）'!$C$90</definedName>
    <definedName name="_11_A通院１２．０" localSheetId="29">'[1]_11_居宅介護（名前定義）'!$C$90</definedName>
    <definedName name="_11_A通院１２．０" localSheetId="27">'[1]_11_居宅介護（名前定義）'!$C$90</definedName>
    <definedName name="_11_A通院１２．０" localSheetId="25">'[1]_11_居宅介護（名前定義）'!$C$90</definedName>
    <definedName name="_11_A通院１２．０">'_11_居宅介護（名前定義）'!$C$90</definedName>
    <definedName name="_11_A通院１２．５" localSheetId="17">'[1]_11_居宅介護（名前定義）'!$C$91</definedName>
    <definedName name="_11_A通院１２．５" localSheetId="15">'[1]_11_居宅介護（名前定義）'!$C$91</definedName>
    <definedName name="_11_A通院１２．５" localSheetId="13">'[1]_11_居宅介護（名前定義）'!$C$91</definedName>
    <definedName name="_11_A通院１２．５" localSheetId="29">'[1]_11_居宅介護（名前定義）'!$C$91</definedName>
    <definedName name="_11_A通院１２．５" localSheetId="27">'[1]_11_居宅介護（名前定義）'!$C$91</definedName>
    <definedName name="_11_A通院１２．５" localSheetId="25">'[1]_11_居宅介護（名前定義）'!$C$91</definedName>
    <definedName name="_11_A通院１２．５">'_11_居宅介護（名前定義）'!$C$91</definedName>
    <definedName name="_11_A通院１３．０" localSheetId="17">'[1]_11_居宅介護（名前定義）'!$C$92</definedName>
    <definedName name="_11_A通院１３．０" localSheetId="15">'[1]_11_居宅介護（名前定義）'!$C$92</definedName>
    <definedName name="_11_A通院１３．０" localSheetId="13">'[1]_11_居宅介護（名前定義）'!$C$92</definedName>
    <definedName name="_11_A通院１３．０" localSheetId="29">'[1]_11_居宅介護（名前定義）'!$C$92</definedName>
    <definedName name="_11_A通院１３．０" localSheetId="27">'[1]_11_居宅介護（名前定義）'!$C$92</definedName>
    <definedName name="_11_A通院１３．０" localSheetId="25">'[1]_11_居宅介護（名前定義）'!$C$92</definedName>
    <definedName name="_11_A通院１３．０">'_11_居宅介護（名前定義）'!$C$92</definedName>
    <definedName name="_11_A通院１３．５" localSheetId="17">'[1]_11_居宅介護（名前定義）'!$C$93</definedName>
    <definedName name="_11_A通院１３．５" localSheetId="15">'[1]_11_居宅介護（名前定義）'!$C$93</definedName>
    <definedName name="_11_A通院１３．５" localSheetId="13">'[1]_11_居宅介護（名前定義）'!$C$93</definedName>
    <definedName name="_11_A通院１３．５" localSheetId="29">'[1]_11_居宅介護（名前定義）'!$C$93</definedName>
    <definedName name="_11_A通院１３．５" localSheetId="27">'[1]_11_居宅介護（名前定義）'!$C$93</definedName>
    <definedName name="_11_A通院１３．５" localSheetId="25">'[1]_11_居宅介護（名前定義）'!$C$93</definedName>
    <definedName name="_11_A通院１３．５">'_11_居宅介護（名前定義）'!$C$93</definedName>
    <definedName name="_11_A通院１４．０" localSheetId="17">'[1]_11_居宅介護（名前定義）'!$C$94</definedName>
    <definedName name="_11_A通院１４．０" localSheetId="15">'[1]_11_居宅介護（名前定義）'!$C$94</definedName>
    <definedName name="_11_A通院１４．０" localSheetId="13">'[1]_11_居宅介護（名前定義）'!$C$94</definedName>
    <definedName name="_11_A通院１４．０" localSheetId="29">'[1]_11_居宅介護（名前定義）'!$C$94</definedName>
    <definedName name="_11_A通院１４．０" localSheetId="27">'[1]_11_居宅介護（名前定義）'!$C$94</definedName>
    <definedName name="_11_A通院１４．０" localSheetId="25">'[1]_11_居宅介護（名前定義）'!$C$94</definedName>
    <definedName name="_11_A通院１４．０">'_11_居宅介護（名前定義）'!$C$94</definedName>
    <definedName name="_11_A通院１４．５" localSheetId="17">'[1]_11_居宅介護（名前定義）'!$C$95</definedName>
    <definedName name="_11_A通院１４．５" localSheetId="15">'[1]_11_居宅介護（名前定義）'!$C$95</definedName>
    <definedName name="_11_A通院１４．５" localSheetId="13">'[1]_11_居宅介護（名前定義）'!$C$95</definedName>
    <definedName name="_11_A通院１４．５" localSheetId="29">'[1]_11_居宅介護（名前定義）'!$C$95</definedName>
    <definedName name="_11_A通院１４．５" localSheetId="27">'[1]_11_居宅介護（名前定義）'!$C$95</definedName>
    <definedName name="_11_A通院１４．５" localSheetId="25">'[1]_11_居宅介護（名前定義）'!$C$95</definedName>
    <definedName name="_11_A通院１４．５">'_11_居宅介護（名前定義）'!$C$95</definedName>
    <definedName name="_11_A通院１５．０" localSheetId="17">'[1]_11_居宅介護（名前定義）'!$C$96</definedName>
    <definedName name="_11_A通院１５．０" localSheetId="15">'[1]_11_居宅介護（名前定義）'!$C$96</definedName>
    <definedName name="_11_A通院１５．０" localSheetId="13">'[1]_11_居宅介護（名前定義）'!$C$96</definedName>
    <definedName name="_11_A通院１５．０" localSheetId="29">'[1]_11_居宅介護（名前定義）'!$C$96</definedName>
    <definedName name="_11_A通院１５．０" localSheetId="27">'[1]_11_居宅介護（名前定義）'!$C$96</definedName>
    <definedName name="_11_A通院１５．０" localSheetId="25">'[1]_11_居宅介護（名前定義）'!$C$96</definedName>
    <definedName name="_11_A通院１５．０">'_11_居宅介護（名前定義）'!$C$96</definedName>
    <definedName name="_11_A通院１５．５" localSheetId="17">'[1]_11_居宅介護（名前定義）'!$C$97</definedName>
    <definedName name="_11_A通院１５．５" localSheetId="15">'[1]_11_居宅介護（名前定義）'!$C$97</definedName>
    <definedName name="_11_A通院１５．５" localSheetId="13">'[1]_11_居宅介護（名前定義）'!$C$97</definedName>
    <definedName name="_11_A通院１５．５" localSheetId="29">'[1]_11_居宅介護（名前定義）'!$C$97</definedName>
    <definedName name="_11_A通院１５．５" localSheetId="27">'[1]_11_居宅介護（名前定義）'!$C$97</definedName>
    <definedName name="_11_A通院１５．５" localSheetId="25">'[1]_11_居宅介護（名前定義）'!$C$97</definedName>
    <definedName name="_11_A通院１５．５">'_11_居宅介護（名前定義）'!$C$97</definedName>
    <definedName name="_11_A通院１６．０" localSheetId="17">'[1]_11_居宅介護（名前定義）'!$C$98</definedName>
    <definedName name="_11_A通院１６．０" localSheetId="15">'[1]_11_居宅介護（名前定義）'!$C$98</definedName>
    <definedName name="_11_A通院１６．０" localSheetId="13">'[1]_11_居宅介護（名前定義）'!$C$98</definedName>
    <definedName name="_11_A通院１６．０" localSheetId="29">'[1]_11_居宅介護（名前定義）'!$C$98</definedName>
    <definedName name="_11_A通院１６．０" localSheetId="27">'[1]_11_居宅介護（名前定義）'!$C$98</definedName>
    <definedName name="_11_A通院１６．０" localSheetId="25">'[1]_11_居宅介護（名前定義）'!$C$98</definedName>
    <definedName name="_11_A通院１６．０">'_11_居宅介護（名前定義）'!$C$98</definedName>
    <definedName name="_11_A通院１６．５" localSheetId="17">'[1]_11_居宅介護（名前定義）'!$C$99</definedName>
    <definedName name="_11_A通院１６．５" localSheetId="15">'[1]_11_居宅介護（名前定義）'!$C$99</definedName>
    <definedName name="_11_A通院１６．５" localSheetId="13">'[1]_11_居宅介護（名前定義）'!$C$99</definedName>
    <definedName name="_11_A通院１６．５" localSheetId="29">'[1]_11_居宅介護（名前定義）'!$C$99</definedName>
    <definedName name="_11_A通院１６．５" localSheetId="27">'[1]_11_居宅介護（名前定義）'!$C$99</definedName>
    <definedName name="_11_A通院１６．５" localSheetId="25">'[1]_11_居宅介護（名前定義）'!$C$99</definedName>
    <definedName name="_11_A通院１６．５">'_11_居宅介護（名前定義）'!$C$99</definedName>
    <definedName name="_11_A通院１７．０" localSheetId="17">'[1]_11_居宅介護（名前定義）'!$C$100</definedName>
    <definedName name="_11_A通院１７．０" localSheetId="15">'[1]_11_居宅介護（名前定義）'!$C$100</definedName>
    <definedName name="_11_A通院１７．０" localSheetId="13">'[1]_11_居宅介護（名前定義）'!$C$100</definedName>
    <definedName name="_11_A通院１７．０" localSheetId="29">'[1]_11_居宅介護（名前定義）'!$C$100</definedName>
    <definedName name="_11_A通院１７．０" localSheetId="27">'[1]_11_居宅介護（名前定義）'!$C$100</definedName>
    <definedName name="_11_A通院１７．０" localSheetId="25">'[1]_11_居宅介護（名前定義）'!$C$100</definedName>
    <definedName name="_11_A通院１７．０">'_11_居宅介護（名前定義）'!$C$100</definedName>
    <definedName name="_11_A通院１７．５" localSheetId="17">'[1]_11_居宅介護（名前定義）'!$C$101</definedName>
    <definedName name="_11_A通院１７．５" localSheetId="15">'[1]_11_居宅介護（名前定義）'!$C$101</definedName>
    <definedName name="_11_A通院１７．５" localSheetId="13">'[1]_11_居宅介護（名前定義）'!$C$101</definedName>
    <definedName name="_11_A通院１７．５" localSheetId="29">'[1]_11_居宅介護（名前定義）'!$C$101</definedName>
    <definedName name="_11_A通院１７．５" localSheetId="27">'[1]_11_居宅介護（名前定義）'!$C$101</definedName>
    <definedName name="_11_A通院１７．５" localSheetId="25">'[1]_11_居宅介護（名前定義）'!$C$101</definedName>
    <definedName name="_11_A通院１７．５">'_11_居宅介護（名前定義）'!$C$101</definedName>
    <definedName name="_11_A通院１８．０" localSheetId="17">'[1]_11_居宅介護（名前定義）'!$C$102</definedName>
    <definedName name="_11_A通院１８．０" localSheetId="15">'[1]_11_居宅介護（名前定義）'!$C$102</definedName>
    <definedName name="_11_A通院１８．０" localSheetId="13">'[1]_11_居宅介護（名前定義）'!$C$102</definedName>
    <definedName name="_11_A通院１８．０" localSheetId="29">'[1]_11_居宅介護（名前定義）'!$C$102</definedName>
    <definedName name="_11_A通院１８．０" localSheetId="27">'[1]_11_居宅介護（名前定義）'!$C$102</definedName>
    <definedName name="_11_A通院１８．０" localSheetId="25">'[1]_11_居宅介護（名前定義）'!$C$102</definedName>
    <definedName name="_11_A通院１８．０">'_11_居宅介護（名前定義）'!$C$102</definedName>
    <definedName name="_11_A通院１８．５" localSheetId="17">'[1]_11_居宅介護（名前定義）'!$C$103</definedName>
    <definedName name="_11_A通院１８．５" localSheetId="15">'[1]_11_居宅介護（名前定義）'!$C$103</definedName>
    <definedName name="_11_A通院１８．５" localSheetId="13">'[1]_11_居宅介護（名前定義）'!$C$103</definedName>
    <definedName name="_11_A通院１８．５" localSheetId="29">'[1]_11_居宅介護（名前定義）'!$C$103</definedName>
    <definedName name="_11_A通院１８．５" localSheetId="27">'[1]_11_居宅介護（名前定義）'!$C$103</definedName>
    <definedName name="_11_A通院１８．５" localSheetId="25">'[1]_11_居宅介護（名前定義）'!$C$103</definedName>
    <definedName name="_11_A通院１８．５">'_11_居宅介護（名前定義）'!$C$103</definedName>
    <definedName name="_11_A通院１９．０" localSheetId="17">'[1]_11_居宅介護（名前定義）'!$C$104</definedName>
    <definedName name="_11_A通院１９．０" localSheetId="15">'[1]_11_居宅介護（名前定義）'!$C$104</definedName>
    <definedName name="_11_A通院１９．０" localSheetId="13">'[1]_11_居宅介護（名前定義）'!$C$104</definedName>
    <definedName name="_11_A通院１９．０" localSheetId="29">'[1]_11_居宅介護（名前定義）'!$C$104</definedName>
    <definedName name="_11_A通院１９．０" localSheetId="27">'[1]_11_居宅介護（名前定義）'!$C$104</definedName>
    <definedName name="_11_A通院１９．０" localSheetId="25">'[1]_11_居宅介護（名前定義）'!$C$104</definedName>
    <definedName name="_11_A通院１９．０">'_11_居宅介護（名前定義）'!$C$104</definedName>
    <definedName name="_11_A通院１９．５" localSheetId="17">'[1]_11_居宅介護（名前定義）'!$C$105</definedName>
    <definedName name="_11_A通院１９．５" localSheetId="15">'[1]_11_居宅介護（名前定義）'!$C$105</definedName>
    <definedName name="_11_A通院１９．５" localSheetId="13">'[1]_11_居宅介護（名前定義）'!$C$105</definedName>
    <definedName name="_11_A通院１９．５" localSheetId="29">'[1]_11_居宅介護（名前定義）'!$C$105</definedName>
    <definedName name="_11_A通院１９．５" localSheetId="27">'[1]_11_居宅介護（名前定義）'!$C$105</definedName>
    <definedName name="_11_A通院１９．５" localSheetId="25">'[1]_11_居宅介護（名前定義）'!$C$105</definedName>
    <definedName name="_11_A通院１９．５">'_11_居宅介護（名前定義）'!$C$105</definedName>
    <definedName name="_11_A通院１増０．５" localSheetId="17">'[1]_11_居宅介護（名前定義）'!$C$108</definedName>
    <definedName name="_11_A通院１増０．５" localSheetId="15">'[1]_11_居宅介護（名前定義）'!$C$108</definedName>
    <definedName name="_11_A通院１増０．５" localSheetId="13">'[1]_11_居宅介護（名前定義）'!$C$108</definedName>
    <definedName name="_11_A通院１増０．５" localSheetId="29">'[1]_11_居宅介護（名前定義）'!$C$108</definedName>
    <definedName name="_11_A通院１増０．５" localSheetId="27">'[1]_11_居宅介護（名前定義）'!$C$108</definedName>
    <definedName name="_11_A通院１増０．５" localSheetId="25">'[1]_11_居宅介護（名前定義）'!$C$108</definedName>
    <definedName name="_11_A通院１増０．５">'_11_居宅介護（名前定義）'!$C$108</definedName>
    <definedName name="_11_A通院１増０．５_補正">'[1]_11_居宅介護（名前定義）'!$C$428</definedName>
    <definedName name="_11_A通院１増１．０" localSheetId="17">'[1]_11_居宅介護（名前定義）'!$C$109</definedName>
    <definedName name="_11_A通院１増１．０" localSheetId="15">'[1]_11_居宅介護（名前定義）'!$C$109</definedName>
    <definedName name="_11_A通院１増１．０" localSheetId="13">'[1]_11_居宅介護（名前定義）'!$C$109</definedName>
    <definedName name="_11_A通院１増１．０" localSheetId="29">'[1]_11_居宅介護（名前定義）'!$C$109</definedName>
    <definedName name="_11_A通院１増１．０" localSheetId="27">'[1]_11_居宅介護（名前定義）'!$C$109</definedName>
    <definedName name="_11_A通院１増１．０" localSheetId="25">'[1]_11_居宅介護（名前定義）'!$C$109</definedName>
    <definedName name="_11_A通院１増１．０">'_11_居宅介護（名前定義）'!$C$109</definedName>
    <definedName name="_11_A通院１増１．０_補正">'[1]_11_居宅介護（名前定義）'!$C$429</definedName>
    <definedName name="_11_A通院１増１．５" localSheetId="17">'[1]_11_居宅介護（名前定義）'!$C$110</definedName>
    <definedName name="_11_A通院１増１．５" localSheetId="15">'[1]_11_居宅介護（名前定義）'!$C$110</definedName>
    <definedName name="_11_A通院１増１．５" localSheetId="13">'[1]_11_居宅介護（名前定義）'!$C$110</definedName>
    <definedName name="_11_A通院１増１．５" localSheetId="29">'[1]_11_居宅介護（名前定義）'!$C$110</definedName>
    <definedName name="_11_A通院１増１．５" localSheetId="27">'[1]_11_居宅介護（名前定義）'!$C$110</definedName>
    <definedName name="_11_A通院１増１．５" localSheetId="25">'[1]_11_居宅介護（名前定義）'!$C$110</definedName>
    <definedName name="_11_A通院１増１．５">'_11_居宅介護（名前定義）'!$C$110</definedName>
    <definedName name="_11_A通院１増１．５_補正">'[1]_11_居宅介護（名前定義）'!$C$430</definedName>
    <definedName name="_11_A通院１増１０．０" localSheetId="17">'[1]_11_居宅介護（名前定義）'!$C$127</definedName>
    <definedName name="_11_A通院１増１０．０" localSheetId="15">'[1]_11_居宅介護（名前定義）'!$C$127</definedName>
    <definedName name="_11_A通院１増１０．０" localSheetId="13">'[1]_11_居宅介護（名前定義）'!$C$127</definedName>
    <definedName name="_11_A通院１増１０．０" localSheetId="29">'[1]_11_居宅介護（名前定義）'!$C$127</definedName>
    <definedName name="_11_A通院１増１０．０" localSheetId="27">'[1]_11_居宅介護（名前定義）'!$C$127</definedName>
    <definedName name="_11_A通院１増１０．０" localSheetId="25">'[1]_11_居宅介護（名前定義）'!$C$127</definedName>
    <definedName name="_11_A通院１増１０．０">'_11_居宅介護（名前定義）'!$C$127</definedName>
    <definedName name="_11_A通院１増１０．０_補正">'[1]_11_居宅介護（名前定義）'!$C$447</definedName>
    <definedName name="_11_A通院１増１０．５" localSheetId="17">'[1]_11_居宅介護（名前定義）'!$C$128</definedName>
    <definedName name="_11_A通院１増１０．５" localSheetId="15">'[1]_11_居宅介護（名前定義）'!$C$128</definedName>
    <definedName name="_11_A通院１増１０．５" localSheetId="13">'[1]_11_居宅介護（名前定義）'!$C$128</definedName>
    <definedName name="_11_A通院１増１０．５" localSheetId="29">'[1]_11_居宅介護（名前定義）'!$C$128</definedName>
    <definedName name="_11_A通院１増１０．５" localSheetId="27">'[1]_11_居宅介護（名前定義）'!$C$128</definedName>
    <definedName name="_11_A通院１増１０．５" localSheetId="25">'[1]_11_居宅介護（名前定義）'!$C$128</definedName>
    <definedName name="_11_A通院１増１０．５">'_11_居宅介護（名前定義）'!$C$128</definedName>
    <definedName name="_11_A通院１増１０．５_補正">'[1]_11_居宅介護（名前定義）'!$C$448</definedName>
    <definedName name="_11_A通院１増２．０" localSheetId="17">'[1]_11_居宅介護（名前定義）'!$C$111</definedName>
    <definedName name="_11_A通院１増２．０" localSheetId="15">'[1]_11_居宅介護（名前定義）'!$C$111</definedName>
    <definedName name="_11_A通院１増２．０" localSheetId="13">'[1]_11_居宅介護（名前定義）'!$C$111</definedName>
    <definedName name="_11_A通院１増２．０" localSheetId="29">'[1]_11_居宅介護（名前定義）'!$C$111</definedName>
    <definedName name="_11_A通院１増２．０" localSheetId="27">'[1]_11_居宅介護（名前定義）'!$C$111</definedName>
    <definedName name="_11_A通院１増２．０" localSheetId="25">'[1]_11_居宅介護（名前定義）'!$C$111</definedName>
    <definedName name="_11_A通院１増２．０">'_11_居宅介護（名前定義）'!$C$111</definedName>
    <definedName name="_11_A通院１増２．０_補正">'[1]_11_居宅介護（名前定義）'!$C$431</definedName>
    <definedName name="_11_A通院１増２．５" localSheetId="17">'[1]_11_居宅介護（名前定義）'!$C$112</definedName>
    <definedName name="_11_A通院１増２．５" localSheetId="15">'[1]_11_居宅介護（名前定義）'!$C$112</definedName>
    <definedName name="_11_A通院１増２．５" localSheetId="13">'[1]_11_居宅介護（名前定義）'!$C$112</definedName>
    <definedName name="_11_A通院１増２．５" localSheetId="29">'[1]_11_居宅介護（名前定義）'!$C$112</definedName>
    <definedName name="_11_A通院１増２．５" localSheetId="27">'[1]_11_居宅介護（名前定義）'!$C$112</definedName>
    <definedName name="_11_A通院１増２．５" localSheetId="25">'[1]_11_居宅介護（名前定義）'!$C$112</definedName>
    <definedName name="_11_A通院１増２．５">'_11_居宅介護（名前定義）'!$C$112</definedName>
    <definedName name="_11_A通院１増２．５_補正">'[1]_11_居宅介護（名前定義）'!$C$432</definedName>
    <definedName name="_11_A通院１増３．０" localSheetId="17">'[1]_11_居宅介護（名前定義）'!$C$113</definedName>
    <definedName name="_11_A通院１増３．０" localSheetId="15">'[1]_11_居宅介護（名前定義）'!$C$113</definedName>
    <definedName name="_11_A通院１増３．０" localSheetId="13">'[1]_11_居宅介護（名前定義）'!$C$113</definedName>
    <definedName name="_11_A通院１増３．０" localSheetId="29">'[1]_11_居宅介護（名前定義）'!$C$113</definedName>
    <definedName name="_11_A通院１増３．０" localSheetId="27">'[1]_11_居宅介護（名前定義）'!$C$113</definedName>
    <definedName name="_11_A通院１増３．０" localSheetId="25">'[1]_11_居宅介護（名前定義）'!$C$113</definedName>
    <definedName name="_11_A通院１増３．０">'_11_居宅介護（名前定義）'!$C$113</definedName>
    <definedName name="_11_A通院１増３．０_補正">'[1]_11_居宅介護（名前定義）'!$C$433</definedName>
    <definedName name="_11_A通院１増３．５" localSheetId="17">'[1]_11_居宅介護（名前定義）'!$C$114</definedName>
    <definedName name="_11_A通院１増３．５" localSheetId="15">'[1]_11_居宅介護（名前定義）'!$C$114</definedName>
    <definedName name="_11_A通院１増３．５" localSheetId="13">'[1]_11_居宅介護（名前定義）'!$C$114</definedName>
    <definedName name="_11_A通院１増３．５" localSheetId="29">'[1]_11_居宅介護（名前定義）'!$C$114</definedName>
    <definedName name="_11_A通院１増３．５" localSheetId="27">'[1]_11_居宅介護（名前定義）'!$C$114</definedName>
    <definedName name="_11_A通院１増３．５" localSheetId="25">'[1]_11_居宅介護（名前定義）'!$C$114</definedName>
    <definedName name="_11_A通院１増３．５">'_11_居宅介護（名前定義）'!$C$114</definedName>
    <definedName name="_11_A通院１増３．５_補正">'[1]_11_居宅介護（名前定義）'!$C$434</definedName>
    <definedName name="_11_A通院１増４．０" localSheetId="17">'[1]_11_居宅介護（名前定義）'!$C$115</definedName>
    <definedName name="_11_A通院１増４．０" localSheetId="15">'[1]_11_居宅介護（名前定義）'!$C$115</definedName>
    <definedName name="_11_A通院１増４．０" localSheetId="13">'[1]_11_居宅介護（名前定義）'!$C$115</definedName>
    <definedName name="_11_A通院１増４．０" localSheetId="29">'[1]_11_居宅介護（名前定義）'!$C$115</definedName>
    <definedName name="_11_A通院１増４．０" localSheetId="27">'[1]_11_居宅介護（名前定義）'!$C$115</definedName>
    <definedName name="_11_A通院１増４．０" localSheetId="25">'[1]_11_居宅介護（名前定義）'!$C$115</definedName>
    <definedName name="_11_A通院１増４．０">'_11_居宅介護（名前定義）'!$C$115</definedName>
    <definedName name="_11_A通院１増４．０_補正">'[1]_11_居宅介護（名前定義）'!$C$435</definedName>
    <definedName name="_11_A通院１増４．５" localSheetId="17">'[1]_11_居宅介護（名前定義）'!$C$116</definedName>
    <definedName name="_11_A通院１増４．５" localSheetId="15">'[1]_11_居宅介護（名前定義）'!$C$116</definedName>
    <definedName name="_11_A通院１増４．５" localSheetId="13">'[1]_11_居宅介護（名前定義）'!$C$116</definedName>
    <definedName name="_11_A通院１増４．５" localSheetId="29">'[1]_11_居宅介護（名前定義）'!$C$116</definedName>
    <definedName name="_11_A通院１増４．５" localSheetId="27">'[1]_11_居宅介護（名前定義）'!$C$116</definedName>
    <definedName name="_11_A通院１増４．５" localSheetId="25">'[1]_11_居宅介護（名前定義）'!$C$116</definedName>
    <definedName name="_11_A通院１増４．５">'_11_居宅介護（名前定義）'!$C$116</definedName>
    <definedName name="_11_A通院１増４．５_補正">'[1]_11_居宅介護（名前定義）'!$C$436</definedName>
    <definedName name="_11_A通院１増５．０" localSheetId="17">'[1]_11_居宅介護（名前定義）'!$C$117</definedName>
    <definedName name="_11_A通院１増５．０" localSheetId="15">'[1]_11_居宅介護（名前定義）'!$C$117</definedName>
    <definedName name="_11_A通院１増５．０" localSheetId="13">'[1]_11_居宅介護（名前定義）'!$C$117</definedName>
    <definedName name="_11_A通院１増５．０" localSheetId="29">'[1]_11_居宅介護（名前定義）'!$C$117</definedName>
    <definedName name="_11_A通院１増５．０" localSheetId="27">'[1]_11_居宅介護（名前定義）'!$C$117</definedName>
    <definedName name="_11_A通院１増５．０" localSheetId="25">'[1]_11_居宅介護（名前定義）'!$C$117</definedName>
    <definedName name="_11_A通院１増５．０">'_11_居宅介護（名前定義）'!$C$117</definedName>
    <definedName name="_11_A通院１増５．０_補正">'[1]_11_居宅介護（名前定義）'!$C$437</definedName>
    <definedName name="_11_A通院１増５．５" localSheetId="17">'[1]_11_居宅介護（名前定義）'!$C$118</definedName>
    <definedName name="_11_A通院１増５．５" localSheetId="15">'[1]_11_居宅介護（名前定義）'!$C$118</definedName>
    <definedName name="_11_A通院１増５．５" localSheetId="13">'[1]_11_居宅介護（名前定義）'!$C$118</definedName>
    <definedName name="_11_A通院１増５．５" localSheetId="29">'[1]_11_居宅介護（名前定義）'!$C$118</definedName>
    <definedName name="_11_A通院１増５．５" localSheetId="27">'[1]_11_居宅介護（名前定義）'!$C$118</definedName>
    <definedName name="_11_A通院１増５．５" localSheetId="25">'[1]_11_居宅介護（名前定義）'!$C$118</definedName>
    <definedName name="_11_A通院１増５．５">'_11_居宅介護（名前定義）'!$C$118</definedName>
    <definedName name="_11_A通院１増５．５_補正">'[1]_11_居宅介護（名前定義）'!$C$438</definedName>
    <definedName name="_11_A通院１増６．０" localSheetId="17">'[1]_11_居宅介護（名前定義）'!$C$119</definedName>
    <definedName name="_11_A通院１増６．０" localSheetId="15">'[1]_11_居宅介護（名前定義）'!$C$119</definedName>
    <definedName name="_11_A通院１増６．０" localSheetId="13">'[1]_11_居宅介護（名前定義）'!$C$119</definedName>
    <definedName name="_11_A通院１増６．０" localSheetId="29">'[1]_11_居宅介護（名前定義）'!$C$119</definedName>
    <definedName name="_11_A通院１増６．０" localSheetId="27">'[1]_11_居宅介護（名前定義）'!$C$119</definedName>
    <definedName name="_11_A通院１増６．０" localSheetId="25">'[1]_11_居宅介護（名前定義）'!$C$119</definedName>
    <definedName name="_11_A通院１増６．０">'_11_居宅介護（名前定義）'!$C$119</definedName>
    <definedName name="_11_A通院１増６．０_補正">'[1]_11_居宅介護（名前定義）'!$C$439</definedName>
    <definedName name="_11_A通院１増６．５" localSheetId="17">'[1]_11_居宅介護（名前定義）'!$C$120</definedName>
    <definedName name="_11_A通院１増６．５" localSheetId="15">'[1]_11_居宅介護（名前定義）'!$C$120</definedName>
    <definedName name="_11_A通院１増６．５" localSheetId="13">'[1]_11_居宅介護（名前定義）'!$C$120</definedName>
    <definedName name="_11_A通院１増６．５" localSheetId="29">'[1]_11_居宅介護（名前定義）'!$C$120</definedName>
    <definedName name="_11_A通院１増６．５" localSheetId="27">'[1]_11_居宅介護（名前定義）'!$C$120</definedName>
    <definedName name="_11_A通院１増６．５" localSheetId="25">'[1]_11_居宅介護（名前定義）'!$C$120</definedName>
    <definedName name="_11_A通院１増６．５">'_11_居宅介護（名前定義）'!$C$120</definedName>
    <definedName name="_11_A通院１増６．５_補正">'[1]_11_居宅介護（名前定義）'!$C$440</definedName>
    <definedName name="_11_A通院１増７．０" localSheetId="17">'[1]_11_居宅介護（名前定義）'!$C$121</definedName>
    <definedName name="_11_A通院１増７．０" localSheetId="15">'[1]_11_居宅介護（名前定義）'!$C$121</definedName>
    <definedName name="_11_A通院１増７．０" localSheetId="13">'[1]_11_居宅介護（名前定義）'!$C$121</definedName>
    <definedName name="_11_A通院１増７．０" localSheetId="29">'[1]_11_居宅介護（名前定義）'!$C$121</definedName>
    <definedName name="_11_A通院１増７．０" localSheetId="27">'[1]_11_居宅介護（名前定義）'!$C$121</definedName>
    <definedName name="_11_A通院１増７．０" localSheetId="25">'[1]_11_居宅介護（名前定義）'!$C$121</definedName>
    <definedName name="_11_A通院１増７．０">'_11_居宅介護（名前定義）'!$C$121</definedName>
    <definedName name="_11_A通院１増７．０_補正">'[1]_11_居宅介護（名前定義）'!$C$441</definedName>
    <definedName name="_11_A通院１増７．５" localSheetId="17">'[1]_11_居宅介護（名前定義）'!$C$122</definedName>
    <definedName name="_11_A通院１増７．５" localSheetId="15">'[1]_11_居宅介護（名前定義）'!$C$122</definedName>
    <definedName name="_11_A通院１増７．５" localSheetId="13">'[1]_11_居宅介護（名前定義）'!$C$122</definedName>
    <definedName name="_11_A通院１増７．５" localSheetId="29">'[1]_11_居宅介護（名前定義）'!$C$122</definedName>
    <definedName name="_11_A通院１増７．５" localSheetId="27">'[1]_11_居宅介護（名前定義）'!$C$122</definedName>
    <definedName name="_11_A通院１増７．５" localSheetId="25">'[1]_11_居宅介護（名前定義）'!$C$122</definedName>
    <definedName name="_11_A通院１増７．５">'_11_居宅介護（名前定義）'!$C$122</definedName>
    <definedName name="_11_A通院１増７．５_補正">'[1]_11_居宅介護（名前定義）'!$C$442</definedName>
    <definedName name="_11_A通院１増８．０" localSheetId="17">'[1]_11_居宅介護（名前定義）'!$C$123</definedName>
    <definedName name="_11_A通院１増８．０" localSheetId="15">'[1]_11_居宅介護（名前定義）'!$C$123</definedName>
    <definedName name="_11_A通院１増８．０" localSheetId="13">'[1]_11_居宅介護（名前定義）'!$C$123</definedName>
    <definedName name="_11_A通院１増８．０" localSheetId="29">'[1]_11_居宅介護（名前定義）'!$C$123</definedName>
    <definedName name="_11_A通院１増８．０" localSheetId="27">'[1]_11_居宅介護（名前定義）'!$C$123</definedName>
    <definedName name="_11_A通院１増８．０" localSheetId="25">'[1]_11_居宅介護（名前定義）'!$C$123</definedName>
    <definedName name="_11_A通院１増８．０">'_11_居宅介護（名前定義）'!$C$123</definedName>
    <definedName name="_11_A通院１増８．０_補正">'[1]_11_居宅介護（名前定義）'!$C$443</definedName>
    <definedName name="_11_A通院１増８．５" localSheetId="17">'[1]_11_居宅介護（名前定義）'!$C$124</definedName>
    <definedName name="_11_A通院１増８．５" localSheetId="15">'[1]_11_居宅介護（名前定義）'!$C$124</definedName>
    <definedName name="_11_A通院１増８．５" localSheetId="13">'[1]_11_居宅介護（名前定義）'!$C$124</definedName>
    <definedName name="_11_A通院１増８．５" localSheetId="29">'[1]_11_居宅介護（名前定義）'!$C$124</definedName>
    <definedName name="_11_A通院１増８．５" localSheetId="27">'[1]_11_居宅介護（名前定義）'!$C$124</definedName>
    <definedName name="_11_A通院１増８．５" localSheetId="25">'[1]_11_居宅介護（名前定義）'!$C$124</definedName>
    <definedName name="_11_A通院１増８．５">'_11_居宅介護（名前定義）'!$C$124</definedName>
    <definedName name="_11_A通院１増８．５_補正">'[1]_11_居宅介護（名前定義）'!$C$444</definedName>
    <definedName name="_11_A通院１増９．０" localSheetId="17">'[1]_11_居宅介護（名前定義）'!$C$125</definedName>
    <definedName name="_11_A通院１増９．０" localSheetId="15">'[1]_11_居宅介護（名前定義）'!$C$125</definedName>
    <definedName name="_11_A通院１増９．０" localSheetId="13">'[1]_11_居宅介護（名前定義）'!$C$125</definedName>
    <definedName name="_11_A通院１増９．０" localSheetId="29">'[1]_11_居宅介護（名前定義）'!$C$125</definedName>
    <definedName name="_11_A通院１増９．０" localSheetId="27">'[1]_11_居宅介護（名前定義）'!$C$125</definedName>
    <definedName name="_11_A通院１増９．０" localSheetId="25">'[1]_11_居宅介護（名前定義）'!$C$125</definedName>
    <definedName name="_11_A通院１増９．０">'_11_居宅介護（名前定義）'!$C$125</definedName>
    <definedName name="_11_A通院１増９．０_補正">'[1]_11_居宅介護（名前定義）'!$C$445</definedName>
    <definedName name="_11_A通院１増９．５" localSheetId="17">'[1]_11_居宅介護（名前定義）'!$C$126</definedName>
    <definedName name="_11_A通院１増９．５" localSheetId="15">'[1]_11_居宅介護（名前定義）'!$C$126</definedName>
    <definedName name="_11_A通院１増９．５" localSheetId="13">'[1]_11_居宅介護（名前定義）'!$C$126</definedName>
    <definedName name="_11_A通院１増９．５" localSheetId="29">'[1]_11_居宅介護（名前定義）'!$C$126</definedName>
    <definedName name="_11_A通院１増９．５" localSheetId="27">'[1]_11_居宅介護（名前定義）'!$C$126</definedName>
    <definedName name="_11_A通院１増９．５" localSheetId="25">'[1]_11_居宅介護（名前定義）'!$C$126</definedName>
    <definedName name="_11_A通院１増９．５">'_11_居宅介護（名前定義）'!$C$126</definedName>
    <definedName name="_11_A通院１増９．５_補正">'[1]_11_居宅介護（名前定義）'!$C$446</definedName>
    <definedName name="_11_A通院２０．５" localSheetId="17">'[1]_11_居宅介護（名前定義）'!$C$212</definedName>
    <definedName name="_11_A通院２０．５" localSheetId="15">'[1]_11_居宅介護（名前定義）'!$C$212</definedName>
    <definedName name="_11_A通院２０．５" localSheetId="13">'[1]_11_居宅介護（名前定義）'!$C$212</definedName>
    <definedName name="_11_A通院２０．５" localSheetId="29">'[1]_11_居宅介護（名前定義）'!$C$212</definedName>
    <definedName name="_11_A通院２０．５" localSheetId="27">'[1]_11_居宅介護（名前定義）'!$C$212</definedName>
    <definedName name="_11_A通院２０．５" localSheetId="25">'[1]_11_居宅介護（名前定義）'!$C$212</definedName>
    <definedName name="_11_A通院２０．５">'_11_居宅介護（名前定義）'!$C$212</definedName>
    <definedName name="_11_A通院２１．０" localSheetId="17">'[1]_11_居宅介護（名前定義）'!$C$213</definedName>
    <definedName name="_11_A通院２１．０" localSheetId="15">'[1]_11_居宅介護（名前定義）'!$C$213</definedName>
    <definedName name="_11_A通院２１．０" localSheetId="13">'[1]_11_居宅介護（名前定義）'!$C$213</definedName>
    <definedName name="_11_A通院２１．０" localSheetId="29">'[1]_11_居宅介護（名前定義）'!$C$213</definedName>
    <definedName name="_11_A通院２１．０" localSheetId="27">'[1]_11_居宅介護（名前定義）'!$C$213</definedName>
    <definedName name="_11_A通院２１．０" localSheetId="25">'[1]_11_居宅介護（名前定義）'!$C$213</definedName>
    <definedName name="_11_A通院２１．０">'_11_居宅介護（名前定義）'!$C$213</definedName>
    <definedName name="_11_A通院２１．５" localSheetId="17">'[1]_11_居宅介護（名前定義）'!$C$214</definedName>
    <definedName name="_11_A通院２１．５" localSheetId="15">'[1]_11_居宅介護（名前定義）'!$C$214</definedName>
    <definedName name="_11_A通院２１．５" localSheetId="13">'[1]_11_居宅介護（名前定義）'!$C$214</definedName>
    <definedName name="_11_A通院２１．５" localSheetId="29">'[1]_11_居宅介護（名前定義）'!$C$214</definedName>
    <definedName name="_11_A通院２１．５" localSheetId="27">'[1]_11_居宅介護（名前定義）'!$C$214</definedName>
    <definedName name="_11_A通院２１．５" localSheetId="25">'[1]_11_居宅介護（名前定義）'!$C$214</definedName>
    <definedName name="_11_A通院２１．５">'_11_居宅介護（名前定義）'!$C$214</definedName>
    <definedName name="_11_A通院２１０．０" localSheetId="17">'[1]_11_居宅介護（名前定義）'!$C$231</definedName>
    <definedName name="_11_A通院２１０．０" localSheetId="15">'[1]_11_居宅介護（名前定義）'!$C$231</definedName>
    <definedName name="_11_A通院２１０．０" localSheetId="13">'[1]_11_居宅介護（名前定義）'!$C$231</definedName>
    <definedName name="_11_A通院２１０．０" localSheetId="29">'[1]_11_居宅介護（名前定義）'!$C$231</definedName>
    <definedName name="_11_A通院２１０．０" localSheetId="27">'[1]_11_居宅介護（名前定義）'!$C$231</definedName>
    <definedName name="_11_A通院２１０．０" localSheetId="25">'[1]_11_居宅介護（名前定義）'!$C$231</definedName>
    <definedName name="_11_A通院２１０．０">'_11_居宅介護（名前定義）'!$C$231</definedName>
    <definedName name="_11_A通院２１０．５" localSheetId="17">'[1]_11_居宅介護（名前定義）'!$C$232</definedName>
    <definedName name="_11_A通院２１０．５" localSheetId="15">'[1]_11_居宅介護（名前定義）'!$C$232</definedName>
    <definedName name="_11_A通院２１０．５" localSheetId="13">'[1]_11_居宅介護（名前定義）'!$C$232</definedName>
    <definedName name="_11_A通院２１０．５" localSheetId="29">'[1]_11_居宅介護（名前定義）'!$C$232</definedName>
    <definedName name="_11_A通院２１０．５" localSheetId="27">'[1]_11_居宅介護（名前定義）'!$C$232</definedName>
    <definedName name="_11_A通院２１０．５" localSheetId="25">'[1]_11_居宅介護（名前定義）'!$C$232</definedName>
    <definedName name="_11_A通院２１０．５">'_11_居宅介護（名前定義）'!$C$232</definedName>
    <definedName name="_11_A通院２２．０" localSheetId="17">'[1]_11_居宅介護（名前定義）'!$C$215</definedName>
    <definedName name="_11_A通院２２．０" localSheetId="15">'[1]_11_居宅介護（名前定義）'!$C$215</definedName>
    <definedName name="_11_A通院２２．０" localSheetId="13">'[1]_11_居宅介護（名前定義）'!$C$215</definedName>
    <definedName name="_11_A通院２２．０" localSheetId="29">'[1]_11_居宅介護（名前定義）'!$C$215</definedName>
    <definedName name="_11_A通院２２．０" localSheetId="27">'[1]_11_居宅介護（名前定義）'!$C$215</definedName>
    <definedName name="_11_A通院２２．０" localSheetId="25">'[1]_11_居宅介護（名前定義）'!$C$215</definedName>
    <definedName name="_11_A通院２２．０">'_11_居宅介護（名前定義）'!$C$215</definedName>
    <definedName name="_11_A通院２２．５" localSheetId="17">'[1]_11_居宅介護（名前定義）'!$C$216</definedName>
    <definedName name="_11_A通院２２．５" localSheetId="15">'[1]_11_居宅介護（名前定義）'!$C$216</definedName>
    <definedName name="_11_A通院２２．５" localSheetId="13">'[1]_11_居宅介護（名前定義）'!$C$216</definedName>
    <definedName name="_11_A通院２２．５" localSheetId="29">'[1]_11_居宅介護（名前定義）'!$C$216</definedName>
    <definedName name="_11_A通院２２．５" localSheetId="27">'[1]_11_居宅介護（名前定義）'!$C$216</definedName>
    <definedName name="_11_A通院２２．５" localSheetId="25">'[1]_11_居宅介護（名前定義）'!$C$216</definedName>
    <definedName name="_11_A通院２２．５">'_11_居宅介護（名前定義）'!$C$216</definedName>
    <definedName name="_11_A通院２３．０" localSheetId="17">'[1]_11_居宅介護（名前定義）'!$C$217</definedName>
    <definedName name="_11_A通院２３．０" localSheetId="15">'[1]_11_居宅介護（名前定義）'!$C$217</definedName>
    <definedName name="_11_A通院２３．０" localSheetId="13">'[1]_11_居宅介護（名前定義）'!$C$217</definedName>
    <definedName name="_11_A通院２３．０" localSheetId="29">'[1]_11_居宅介護（名前定義）'!$C$217</definedName>
    <definedName name="_11_A通院２３．０" localSheetId="27">'[1]_11_居宅介護（名前定義）'!$C$217</definedName>
    <definedName name="_11_A通院２３．０" localSheetId="25">'[1]_11_居宅介護（名前定義）'!$C$217</definedName>
    <definedName name="_11_A通院２３．０">'_11_居宅介護（名前定義）'!$C$217</definedName>
    <definedName name="_11_A通院２３．５" localSheetId="17">'[1]_11_居宅介護（名前定義）'!$C$218</definedName>
    <definedName name="_11_A通院２３．５" localSheetId="15">'[1]_11_居宅介護（名前定義）'!$C$218</definedName>
    <definedName name="_11_A通院２３．５" localSheetId="13">'[1]_11_居宅介護（名前定義）'!$C$218</definedName>
    <definedName name="_11_A通院２３．５" localSheetId="29">'[1]_11_居宅介護（名前定義）'!$C$218</definedName>
    <definedName name="_11_A通院２３．５" localSheetId="27">'[1]_11_居宅介護（名前定義）'!$C$218</definedName>
    <definedName name="_11_A通院２３．５" localSheetId="25">'[1]_11_居宅介護（名前定義）'!$C$218</definedName>
    <definedName name="_11_A通院２３．５">'_11_居宅介護（名前定義）'!$C$218</definedName>
    <definedName name="_11_A通院２４．０" localSheetId="17">'[1]_11_居宅介護（名前定義）'!$C$219</definedName>
    <definedName name="_11_A通院２４．０" localSheetId="15">'[1]_11_居宅介護（名前定義）'!$C$219</definedName>
    <definedName name="_11_A通院２４．０" localSheetId="13">'[1]_11_居宅介護（名前定義）'!$C$219</definedName>
    <definedName name="_11_A通院２４．０" localSheetId="29">'[1]_11_居宅介護（名前定義）'!$C$219</definedName>
    <definedName name="_11_A通院２４．０" localSheetId="27">'[1]_11_居宅介護（名前定義）'!$C$219</definedName>
    <definedName name="_11_A通院２４．０" localSheetId="25">'[1]_11_居宅介護（名前定義）'!$C$219</definedName>
    <definedName name="_11_A通院２４．０">'_11_居宅介護（名前定義）'!$C$219</definedName>
    <definedName name="_11_A通院２４．５" localSheetId="17">'[1]_11_居宅介護（名前定義）'!$C$220</definedName>
    <definedName name="_11_A通院２４．５" localSheetId="15">'[1]_11_居宅介護（名前定義）'!$C$220</definedName>
    <definedName name="_11_A通院２４．５" localSheetId="13">'[1]_11_居宅介護（名前定義）'!$C$220</definedName>
    <definedName name="_11_A通院２４．５" localSheetId="29">'[1]_11_居宅介護（名前定義）'!$C$220</definedName>
    <definedName name="_11_A通院２４．５" localSheetId="27">'[1]_11_居宅介護（名前定義）'!$C$220</definedName>
    <definedName name="_11_A通院２４．５" localSheetId="25">'[1]_11_居宅介護（名前定義）'!$C$220</definedName>
    <definedName name="_11_A通院２４．５">'_11_居宅介護（名前定義）'!$C$220</definedName>
    <definedName name="_11_A通院２５．０" localSheetId="17">'[1]_11_居宅介護（名前定義）'!$C$221</definedName>
    <definedName name="_11_A通院２５．０" localSheetId="15">'[1]_11_居宅介護（名前定義）'!$C$221</definedName>
    <definedName name="_11_A通院２５．０" localSheetId="13">'[1]_11_居宅介護（名前定義）'!$C$221</definedName>
    <definedName name="_11_A通院２５．０" localSheetId="29">'[1]_11_居宅介護（名前定義）'!$C$221</definedName>
    <definedName name="_11_A通院２５．０" localSheetId="27">'[1]_11_居宅介護（名前定義）'!$C$221</definedName>
    <definedName name="_11_A通院２５．０" localSheetId="25">'[1]_11_居宅介護（名前定義）'!$C$221</definedName>
    <definedName name="_11_A通院２５．０">'_11_居宅介護（名前定義）'!$C$221</definedName>
    <definedName name="_11_A通院２５．５" localSheetId="17">'[1]_11_居宅介護（名前定義）'!$C$222</definedName>
    <definedName name="_11_A通院２５．５" localSheetId="15">'[1]_11_居宅介護（名前定義）'!$C$222</definedName>
    <definedName name="_11_A通院２５．５" localSheetId="13">'[1]_11_居宅介護（名前定義）'!$C$222</definedName>
    <definedName name="_11_A通院２５．５" localSheetId="29">'[1]_11_居宅介護（名前定義）'!$C$222</definedName>
    <definedName name="_11_A通院２５．５" localSheetId="27">'[1]_11_居宅介護（名前定義）'!$C$222</definedName>
    <definedName name="_11_A通院２５．５" localSheetId="25">'[1]_11_居宅介護（名前定義）'!$C$222</definedName>
    <definedName name="_11_A通院２５．５">'_11_居宅介護（名前定義）'!$C$222</definedName>
    <definedName name="_11_A通院２６．０" localSheetId="17">'[1]_11_居宅介護（名前定義）'!$C$223</definedName>
    <definedName name="_11_A通院２６．０" localSheetId="15">'[1]_11_居宅介護（名前定義）'!$C$223</definedName>
    <definedName name="_11_A通院２６．０" localSheetId="13">'[1]_11_居宅介護（名前定義）'!$C$223</definedName>
    <definedName name="_11_A通院２６．０" localSheetId="29">'[1]_11_居宅介護（名前定義）'!$C$223</definedName>
    <definedName name="_11_A通院２６．０" localSheetId="27">'[1]_11_居宅介護（名前定義）'!$C$223</definedName>
    <definedName name="_11_A通院２６．０" localSheetId="25">'[1]_11_居宅介護（名前定義）'!$C$223</definedName>
    <definedName name="_11_A通院２６．０">'_11_居宅介護（名前定義）'!$C$223</definedName>
    <definedName name="_11_A通院２６．５" localSheetId="17">'[1]_11_居宅介護（名前定義）'!$C$224</definedName>
    <definedName name="_11_A通院２６．５" localSheetId="15">'[1]_11_居宅介護（名前定義）'!$C$224</definedName>
    <definedName name="_11_A通院２６．５" localSheetId="13">'[1]_11_居宅介護（名前定義）'!$C$224</definedName>
    <definedName name="_11_A通院２６．５" localSheetId="29">'[1]_11_居宅介護（名前定義）'!$C$224</definedName>
    <definedName name="_11_A通院２６．５" localSheetId="27">'[1]_11_居宅介護（名前定義）'!$C$224</definedName>
    <definedName name="_11_A通院２６．５" localSheetId="25">'[1]_11_居宅介護（名前定義）'!$C$224</definedName>
    <definedName name="_11_A通院２６．５">'_11_居宅介護（名前定義）'!$C$224</definedName>
    <definedName name="_11_A通院２７．０" localSheetId="17">'[1]_11_居宅介護（名前定義）'!$C$225</definedName>
    <definedName name="_11_A通院２７．０" localSheetId="15">'[1]_11_居宅介護（名前定義）'!$C$225</definedName>
    <definedName name="_11_A通院２７．０" localSheetId="13">'[1]_11_居宅介護（名前定義）'!$C$225</definedName>
    <definedName name="_11_A通院２７．０" localSheetId="29">'[1]_11_居宅介護（名前定義）'!$C$225</definedName>
    <definedName name="_11_A通院２７．０" localSheetId="27">'[1]_11_居宅介護（名前定義）'!$C$225</definedName>
    <definedName name="_11_A通院２７．０" localSheetId="25">'[1]_11_居宅介護（名前定義）'!$C$225</definedName>
    <definedName name="_11_A通院２７．０">'_11_居宅介護（名前定義）'!$C$225</definedName>
    <definedName name="_11_A通院２７．５" localSheetId="17">'[1]_11_居宅介護（名前定義）'!$C$226</definedName>
    <definedName name="_11_A通院２７．５" localSheetId="15">'[1]_11_居宅介護（名前定義）'!$C$226</definedName>
    <definedName name="_11_A通院２７．５" localSheetId="13">'[1]_11_居宅介護（名前定義）'!$C$226</definedName>
    <definedName name="_11_A通院２７．５" localSheetId="29">'[1]_11_居宅介護（名前定義）'!$C$226</definedName>
    <definedName name="_11_A通院２７．５" localSheetId="27">'[1]_11_居宅介護（名前定義）'!$C$226</definedName>
    <definedName name="_11_A通院２７．５" localSheetId="25">'[1]_11_居宅介護（名前定義）'!$C$226</definedName>
    <definedName name="_11_A通院２７．５">'_11_居宅介護（名前定義）'!$C$226</definedName>
    <definedName name="_11_A通院２８．０" localSheetId="17">'[1]_11_居宅介護（名前定義）'!$C$227</definedName>
    <definedName name="_11_A通院２８．０" localSheetId="15">'[1]_11_居宅介護（名前定義）'!$C$227</definedName>
    <definedName name="_11_A通院２８．０" localSheetId="13">'[1]_11_居宅介護（名前定義）'!$C$227</definedName>
    <definedName name="_11_A通院２８．０" localSheetId="29">'[1]_11_居宅介護（名前定義）'!$C$227</definedName>
    <definedName name="_11_A通院２８．０" localSheetId="27">'[1]_11_居宅介護（名前定義）'!$C$227</definedName>
    <definedName name="_11_A通院２８．０" localSheetId="25">'[1]_11_居宅介護（名前定義）'!$C$227</definedName>
    <definedName name="_11_A通院２８．０">'_11_居宅介護（名前定義）'!$C$227</definedName>
    <definedName name="_11_A通院２８．５" localSheetId="17">'[1]_11_居宅介護（名前定義）'!$C$228</definedName>
    <definedName name="_11_A通院２８．５" localSheetId="15">'[1]_11_居宅介護（名前定義）'!$C$228</definedName>
    <definedName name="_11_A通院２８．５" localSheetId="13">'[1]_11_居宅介護（名前定義）'!$C$228</definedName>
    <definedName name="_11_A通院２８．５" localSheetId="29">'[1]_11_居宅介護（名前定義）'!$C$228</definedName>
    <definedName name="_11_A通院２８．５" localSheetId="27">'[1]_11_居宅介護（名前定義）'!$C$228</definedName>
    <definedName name="_11_A通院２８．５" localSheetId="25">'[1]_11_居宅介護（名前定義）'!$C$228</definedName>
    <definedName name="_11_A通院２８．５">'_11_居宅介護（名前定義）'!$C$228</definedName>
    <definedName name="_11_A通院２９．０" localSheetId="17">'[1]_11_居宅介護（名前定義）'!$C$229</definedName>
    <definedName name="_11_A通院２９．０" localSheetId="15">'[1]_11_居宅介護（名前定義）'!$C$229</definedName>
    <definedName name="_11_A通院２９．０" localSheetId="13">'[1]_11_居宅介護（名前定義）'!$C$229</definedName>
    <definedName name="_11_A通院２９．０" localSheetId="29">'[1]_11_居宅介護（名前定義）'!$C$229</definedName>
    <definedName name="_11_A通院２９．０" localSheetId="27">'[1]_11_居宅介護（名前定義）'!$C$229</definedName>
    <definedName name="_11_A通院２９．０" localSheetId="25">'[1]_11_居宅介護（名前定義）'!$C$229</definedName>
    <definedName name="_11_A通院２９．０">'_11_居宅介護（名前定義）'!$C$229</definedName>
    <definedName name="_11_A通院２９．５" localSheetId="17">'[1]_11_居宅介護（名前定義）'!$C$230</definedName>
    <definedName name="_11_A通院２９．５" localSheetId="15">'[1]_11_居宅介護（名前定義）'!$C$230</definedName>
    <definedName name="_11_A通院２９．５" localSheetId="13">'[1]_11_居宅介護（名前定義）'!$C$230</definedName>
    <definedName name="_11_A通院２９．５" localSheetId="29">'[1]_11_居宅介護（名前定義）'!$C$230</definedName>
    <definedName name="_11_A通院２９．５" localSheetId="27">'[1]_11_居宅介護（名前定義）'!$C$230</definedName>
    <definedName name="_11_A通院２９．５" localSheetId="25">'[1]_11_居宅介護（名前定義）'!$C$230</definedName>
    <definedName name="_11_A通院２９．５">'_11_居宅介護（名前定義）'!$C$230</definedName>
    <definedName name="_11_A通院２増０．５" localSheetId="17">'[1]_11_居宅介護（名前定義）'!$C$233</definedName>
    <definedName name="_11_A通院２増０．５" localSheetId="15">'[1]_11_居宅介護（名前定義）'!$C$233</definedName>
    <definedName name="_11_A通院２増０．５" localSheetId="13">'[1]_11_居宅介護（名前定義）'!$C$233</definedName>
    <definedName name="_11_A通院２増０．５" localSheetId="29">'[1]_11_居宅介護（名前定義）'!$C$233</definedName>
    <definedName name="_11_A通院２増０．５" localSheetId="27">'[1]_11_居宅介護（名前定義）'!$C$233</definedName>
    <definedName name="_11_A通院２増０．５" localSheetId="25">'[1]_11_居宅介護（名前定義）'!$C$233</definedName>
    <definedName name="_11_A通院２増０．５">'_11_居宅介護（名前定義）'!$C$233</definedName>
    <definedName name="_11_A通院２増０．５_補正">'[1]_11_居宅介護（名前定義）'!$C$491</definedName>
    <definedName name="_11_A通院２増１．０" localSheetId="17">'[1]_11_居宅介護（名前定義）'!$C$234</definedName>
    <definedName name="_11_A通院２増１．０" localSheetId="15">'[1]_11_居宅介護（名前定義）'!$C$234</definedName>
    <definedName name="_11_A通院２増１．０" localSheetId="13">'[1]_11_居宅介護（名前定義）'!$C$234</definedName>
    <definedName name="_11_A通院２増１．０" localSheetId="29">'[1]_11_居宅介護（名前定義）'!$C$234</definedName>
    <definedName name="_11_A通院２増１．０" localSheetId="27">'[1]_11_居宅介護（名前定義）'!$C$234</definedName>
    <definedName name="_11_A通院２増１．０" localSheetId="25">'[1]_11_居宅介護（名前定義）'!$C$234</definedName>
    <definedName name="_11_A通院２増１．０">'_11_居宅介護（名前定義）'!$C$234</definedName>
    <definedName name="_11_A通院２増１．０_補正">'[1]_11_居宅介護（名前定義）'!$C$492</definedName>
    <definedName name="_11_A通院２増１．５" localSheetId="17">'[1]_11_居宅介護（名前定義）'!$C$235</definedName>
    <definedName name="_11_A通院２増１．５" localSheetId="15">'[1]_11_居宅介護（名前定義）'!$C$235</definedName>
    <definedName name="_11_A通院２増１．５" localSheetId="13">'[1]_11_居宅介護（名前定義）'!$C$235</definedName>
    <definedName name="_11_A通院２増１．５" localSheetId="29">'[1]_11_居宅介護（名前定義）'!$C$235</definedName>
    <definedName name="_11_A通院２増１．５" localSheetId="27">'[1]_11_居宅介護（名前定義）'!$C$235</definedName>
    <definedName name="_11_A通院２増１．５" localSheetId="25">'[1]_11_居宅介護（名前定義）'!$C$235</definedName>
    <definedName name="_11_A通院２増１．５">'_11_居宅介護（名前定義）'!$C$235</definedName>
    <definedName name="_11_A通院２増１．５_補正">'[1]_11_居宅介護（名前定義）'!$C$493</definedName>
    <definedName name="_11_A通院２増１０．０" localSheetId="17">'[1]_11_居宅介護（名前定義）'!$C$252</definedName>
    <definedName name="_11_A通院２増１０．０" localSheetId="15">'[1]_11_居宅介護（名前定義）'!$C$252</definedName>
    <definedName name="_11_A通院２増１０．０" localSheetId="13">'[1]_11_居宅介護（名前定義）'!$C$252</definedName>
    <definedName name="_11_A通院２増１０．０" localSheetId="29">'[1]_11_居宅介護（名前定義）'!$C$252</definedName>
    <definedName name="_11_A通院２増１０．０" localSheetId="27">'[1]_11_居宅介護（名前定義）'!$C$252</definedName>
    <definedName name="_11_A通院２増１０．０" localSheetId="25">'[1]_11_居宅介護（名前定義）'!$C$252</definedName>
    <definedName name="_11_A通院２増１０．０">'_11_居宅介護（名前定義）'!$C$252</definedName>
    <definedName name="_11_A通院２増１０．０_補正">'[1]_11_居宅介護（名前定義）'!$C$510</definedName>
    <definedName name="_11_A通院２増１０．５" localSheetId="17">'[1]_11_居宅介護（名前定義）'!$C$253</definedName>
    <definedName name="_11_A通院２増１０．５" localSheetId="15">'[1]_11_居宅介護（名前定義）'!$C$253</definedName>
    <definedName name="_11_A通院２増１０．５" localSheetId="13">'[1]_11_居宅介護（名前定義）'!$C$253</definedName>
    <definedName name="_11_A通院２増１０．５" localSheetId="29">'[1]_11_居宅介護（名前定義）'!$C$253</definedName>
    <definedName name="_11_A通院２増１０．５" localSheetId="27">'[1]_11_居宅介護（名前定義）'!$C$253</definedName>
    <definedName name="_11_A通院２増１０．５" localSheetId="25">'[1]_11_居宅介護（名前定義）'!$C$253</definedName>
    <definedName name="_11_A通院２増１０．５">'_11_居宅介護（名前定義）'!$C$253</definedName>
    <definedName name="_11_A通院２増１０．５_補正">'[1]_11_居宅介護（名前定義）'!$C$511</definedName>
    <definedName name="_11_A通院２増２．０" localSheetId="17">'[1]_11_居宅介護（名前定義）'!$C$236</definedName>
    <definedName name="_11_A通院２増２．０" localSheetId="15">'[1]_11_居宅介護（名前定義）'!$C$236</definedName>
    <definedName name="_11_A通院２増２．０" localSheetId="13">'[1]_11_居宅介護（名前定義）'!$C$236</definedName>
    <definedName name="_11_A通院２増２．０" localSheetId="29">'[1]_11_居宅介護（名前定義）'!$C$236</definedName>
    <definedName name="_11_A通院２増２．０" localSheetId="27">'[1]_11_居宅介護（名前定義）'!$C$236</definedName>
    <definedName name="_11_A通院２増２．０" localSheetId="25">'[1]_11_居宅介護（名前定義）'!$C$236</definedName>
    <definedName name="_11_A通院２増２．０">'_11_居宅介護（名前定義）'!$C$236</definedName>
    <definedName name="_11_A通院２増２．０_補正">'[1]_11_居宅介護（名前定義）'!$C$494</definedName>
    <definedName name="_11_A通院２増２．５" localSheetId="17">'[1]_11_居宅介護（名前定義）'!$C$237</definedName>
    <definedName name="_11_A通院２増２．５" localSheetId="15">'[1]_11_居宅介護（名前定義）'!$C$237</definedName>
    <definedName name="_11_A通院２増２．５" localSheetId="13">'[1]_11_居宅介護（名前定義）'!$C$237</definedName>
    <definedName name="_11_A通院２増２．５" localSheetId="29">'[1]_11_居宅介護（名前定義）'!$C$237</definedName>
    <definedName name="_11_A通院２増２．５" localSheetId="27">'[1]_11_居宅介護（名前定義）'!$C$237</definedName>
    <definedName name="_11_A通院２増２．５" localSheetId="25">'[1]_11_居宅介護（名前定義）'!$C$237</definedName>
    <definedName name="_11_A通院２増２．５">'_11_居宅介護（名前定義）'!$C$237</definedName>
    <definedName name="_11_A通院２増２．５_補正">'[1]_11_居宅介護（名前定義）'!$C$495</definedName>
    <definedName name="_11_A通院２増３．０" localSheetId="17">'[1]_11_居宅介護（名前定義）'!$C$238</definedName>
    <definedName name="_11_A通院２増３．０" localSheetId="15">'[1]_11_居宅介護（名前定義）'!$C$238</definedName>
    <definedName name="_11_A通院２増３．０" localSheetId="13">'[1]_11_居宅介護（名前定義）'!$C$238</definedName>
    <definedName name="_11_A通院２増３．０" localSheetId="29">'[1]_11_居宅介護（名前定義）'!$C$238</definedName>
    <definedName name="_11_A通院２増３．０" localSheetId="27">'[1]_11_居宅介護（名前定義）'!$C$238</definedName>
    <definedName name="_11_A通院２増３．０" localSheetId="25">'[1]_11_居宅介護（名前定義）'!$C$238</definedName>
    <definedName name="_11_A通院２増３．０">'_11_居宅介護（名前定義）'!$C$238</definedName>
    <definedName name="_11_A通院２増３．０_補正">'[1]_11_居宅介護（名前定義）'!$C$496</definedName>
    <definedName name="_11_A通院２増３．５" localSheetId="17">'[1]_11_居宅介護（名前定義）'!$C$239</definedName>
    <definedName name="_11_A通院２増３．５" localSheetId="15">'[1]_11_居宅介護（名前定義）'!$C$239</definedName>
    <definedName name="_11_A通院２増３．５" localSheetId="13">'[1]_11_居宅介護（名前定義）'!$C$239</definedName>
    <definedName name="_11_A通院２増３．５" localSheetId="29">'[1]_11_居宅介護（名前定義）'!$C$239</definedName>
    <definedName name="_11_A通院２増３．５" localSheetId="27">'[1]_11_居宅介護（名前定義）'!$C$239</definedName>
    <definedName name="_11_A通院２増３．５" localSheetId="25">'[1]_11_居宅介護（名前定義）'!$C$239</definedName>
    <definedName name="_11_A通院２増３．５">'_11_居宅介護（名前定義）'!$C$239</definedName>
    <definedName name="_11_A通院２増３．５_補正">'[1]_11_居宅介護（名前定義）'!$C$497</definedName>
    <definedName name="_11_A通院２増４．０" localSheetId="17">'[1]_11_居宅介護（名前定義）'!$C$240</definedName>
    <definedName name="_11_A通院２増４．０" localSheetId="15">'[1]_11_居宅介護（名前定義）'!$C$240</definedName>
    <definedName name="_11_A通院２増４．０" localSheetId="13">'[1]_11_居宅介護（名前定義）'!$C$240</definedName>
    <definedName name="_11_A通院２増４．０" localSheetId="29">'[1]_11_居宅介護（名前定義）'!$C$240</definedName>
    <definedName name="_11_A通院２増４．０" localSheetId="27">'[1]_11_居宅介護（名前定義）'!$C$240</definedName>
    <definedName name="_11_A通院２増４．０" localSheetId="25">'[1]_11_居宅介護（名前定義）'!$C$240</definedName>
    <definedName name="_11_A通院２増４．０">'_11_居宅介護（名前定義）'!$C$240</definedName>
    <definedName name="_11_A通院２増４．０_補正">'[1]_11_居宅介護（名前定義）'!$C$498</definedName>
    <definedName name="_11_A通院２増４．５" localSheetId="17">'[1]_11_居宅介護（名前定義）'!$C$241</definedName>
    <definedName name="_11_A通院２増４．５" localSheetId="15">'[1]_11_居宅介護（名前定義）'!$C$241</definedName>
    <definedName name="_11_A通院２増４．５" localSheetId="13">'[1]_11_居宅介護（名前定義）'!$C$241</definedName>
    <definedName name="_11_A通院２増４．５" localSheetId="29">'[1]_11_居宅介護（名前定義）'!$C$241</definedName>
    <definedName name="_11_A通院２増４．５" localSheetId="27">'[1]_11_居宅介護（名前定義）'!$C$241</definedName>
    <definedName name="_11_A通院２増４．５" localSheetId="25">'[1]_11_居宅介護（名前定義）'!$C$241</definedName>
    <definedName name="_11_A通院２増４．５">'_11_居宅介護（名前定義）'!$C$241</definedName>
    <definedName name="_11_A通院２増４．５_補正">'[1]_11_居宅介護（名前定義）'!$C$499</definedName>
    <definedName name="_11_A通院２増５．０" localSheetId="17">'[1]_11_居宅介護（名前定義）'!$C$242</definedName>
    <definedName name="_11_A通院２増５．０" localSheetId="15">'[1]_11_居宅介護（名前定義）'!$C$242</definedName>
    <definedName name="_11_A通院２増５．０" localSheetId="13">'[1]_11_居宅介護（名前定義）'!$C$242</definedName>
    <definedName name="_11_A通院２増５．０" localSheetId="29">'[1]_11_居宅介護（名前定義）'!$C$242</definedName>
    <definedName name="_11_A通院２増５．０" localSheetId="27">'[1]_11_居宅介護（名前定義）'!$C$242</definedName>
    <definedName name="_11_A通院２増５．０" localSheetId="25">'[1]_11_居宅介護（名前定義）'!$C$242</definedName>
    <definedName name="_11_A通院２増５．０">'_11_居宅介護（名前定義）'!$C$242</definedName>
    <definedName name="_11_A通院２増５．０_補正">'[1]_11_居宅介護（名前定義）'!$C$500</definedName>
    <definedName name="_11_A通院２増５．５" localSheetId="17">'[1]_11_居宅介護（名前定義）'!$C$243</definedName>
    <definedName name="_11_A通院２増５．５" localSheetId="15">'[1]_11_居宅介護（名前定義）'!$C$243</definedName>
    <definedName name="_11_A通院２増５．５" localSheetId="13">'[1]_11_居宅介護（名前定義）'!$C$243</definedName>
    <definedName name="_11_A通院２増５．５" localSheetId="29">'[1]_11_居宅介護（名前定義）'!$C$243</definedName>
    <definedName name="_11_A通院２増５．５" localSheetId="27">'[1]_11_居宅介護（名前定義）'!$C$243</definedName>
    <definedName name="_11_A通院２増５．５" localSheetId="25">'[1]_11_居宅介護（名前定義）'!$C$243</definedName>
    <definedName name="_11_A通院２増５．５">'_11_居宅介護（名前定義）'!$C$243</definedName>
    <definedName name="_11_A通院２増５．５_補正">'[1]_11_居宅介護（名前定義）'!$C$501</definedName>
    <definedName name="_11_A通院２増６．０" localSheetId="17">'[1]_11_居宅介護（名前定義）'!$C$244</definedName>
    <definedName name="_11_A通院２増６．０" localSheetId="15">'[1]_11_居宅介護（名前定義）'!$C$244</definedName>
    <definedName name="_11_A通院２増６．０" localSheetId="13">'[1]_11_居宅介護（名前定義）'!$C$244</definedName>
    <definedName name="_11_A通院２増６．０" localSheetId="29">'[1]_11_居宅介護（名前定義）'!$C$244</definedName>
    <definedName name="_11_A通院２増６．０" localSheetId="27">'[1]_11_居宅介護（名前定義）'!$C$244</definedName>
    <definedName name="_11_A通院２増６．０" localSheetId="25">'[1]_11_居宅介護（名前定義）'!$C$244</definedName>
    <definedName name="_11_A通院２増６．０">'_11_居宅介護（名前定義）'!$C$244</definedName>
    <definedName name="_11_A通院２増６．０_補正">'[1]_11_居宅介護（名前定義）'!$C$502</definedName>
    <definedName name="_11_A通院２増６．５" localSheetId="17">'[1]_11_居宅介護（名前定義）'!$C$245</definedName>
    <definedName name="_11_A通院２増６．５" localSheetId="15">'[1]_11_居宅介護（名前定義）'!$C$245</definedName>
    <definedName name="_11_A通院２増６．５" localSheetId="13">'[1]_11_居宅介護（名前定義）'!$C$245</definedName>
    <definedName name="_11_A通院２増６．５" localSheetId="29">'[1]_11_居宅介護（名前定義）'!$C$245</definedName>
    <definedName name="_11_A通院２増６．５" localSheetId="27">'[1]_11_居宅介護（名前定義）'!$C$245</definedName>
    <definedName name="_11_A通院２増６．５" localSheetId="25">'[1]_11_居宅介護（名前定義）'!$C$245</definedName>
    <definedName name="_11_A通院２増６．５">'_11_居宅介護（名前定義）'!$C$245</definedName>
    <definedName name="_11_A通院２増６．５_補正">'[1]_11_居宅介護（名前定義）'!$C$503</definedName>
    <definedName name="_11_A通院２増７．０" localSheetId="17">'[1]_11_居宅介護（名前定義）'!$C$246</definedName>
    <definedName name="_11_A通院２増７．０" localSheetId="15">'[1]_11_居宅介護（名前定義）'!$C$246</definedName>
    <definedName name="_11_A通院２増７．０" localSheetId="13">'[1]_11_居宅介護（名前定義）'!$C$246</definedName>
    <definedName name="_11_A通院２増７．０" localSheetId="29">'[1]_11_居宅介護（名前定義）'!$C$246</definedName>
    <definedName name="_11_A通院２増７．０" localSheetId="27">'[1]_11_居宅介護（名前定義）'!$C$246</definedName>
    <definedName name="_11_A通院２増７．０" localSheetId="25">'[1]_11_居宅介護（名前定義）'!$C$246</definedName>
    <definedName name="_11_A通院２増７．０">'_11_居宅介護（名前定義）'!$C$246</definedName>
    <definedName name="_11_A通院２増７．０_補正">'[1]_11_居宅介護（名前定義）'!$C$504</definedName>
    <definedName name="_11_A通院２増７．５" localSheetId="17">'[1]_11_居宅介護（名前定義）'!$C$247</definedName>
    <definedName name="_11_A通院２増７．５" localSheetId="15">'[1]_11_居宅介護（名前定義）'!$C$247</definedName>
    <definedName name="_11_A通院２増７．５" localSheetId="13">'[1]_11_居宅介護（名前定義）'!$C$247</definedName>
    <definedName name="_11_A通院２増７．５" localSheetId="29">'[1]_11_居宅介護（名前定義）'!$C$247</definedName>
    <definedName name="_11_A通院２増７．５" localSheetId="27">'[1]_11_居宅介護（名前定義）'!$C$247</definedName>
    <definedName name="_11_A通院２増７．５" localSheetId="25">'[1]_11_居宅介護（名前定義）'!$C$247</definedName>
    <definedName name="_11_A通院２増７．５">'_11_居宅介護（名前定義）'!$C$247</definedName>
    <definedName name="_11_A通院２増７．５_補正">'[1]_11_居宅介護（名前定義）'!$C$505</definedName>
    <definedName name="_11_A通院２増８．０" localSheetId="17">'[1]_11_居宅介護（名前定義）'!$C$248</definedName>
    <definedName name="_11_A通院２増８．０" localSheetId="15">'[1]_11_居宅介護（名前定義）'!$C$248</definedName>
    <definedName name="_11_A通院２増８．０" localSheetId="13">'[1]_11_居宅介護（名前定義）'!$C$248</definedName>
    <definedName name="_11_A通院２増８．０" localSheetId="29">'[1]_11_居宅介護（名前定義）'!$C$248</definedName>
    <definedName name="_11_A通院２増８．０" localSheetId="27">'[1]_11_居宅介護（名前定義）'!$C$248</definedName>
    <definedName name="_11_A通院２増８．０" localSheetId="25">'[1]_11_居宅介護（名前定義）'!$C$248</definedName>
    <definedName name="_11_A通院２増８．０">'_11_居宅介護（名前定義）'!$C$248</definedName>
    <definedName name="_11_A通院２増８．０_補正">'[1]_11_居宅介護（名前定義）'!$C$506</definedName>
    <definedName name="_11_A通院２増８．５" localSheetId="17">'[1]_11_居宅介護（名前定義）'!$C$249</definedName>
    <definedName name="_11_A通院２増８．５" localSheetId="15">'[1]_11_居宅介護（名前定義）'!$C$249</definedName>
    <definedName name="_11_A通院２増８．５" localSheetId="13">'[1]_11_居宅介護（名前定義）'!$C$249</definedName>
    <definedName name="_11_A通院２増８．５" localSheetId="29">'[1]_11_居宅介護（名前定義）'!$C$249</definedName>
    <definedName name="_11_A通院２増８．５" localSheetId="27">'[1]_11_居宅介護（名前定義）'!$C$249</definedName>
    <definedName name="_11_A通院２増８．５" localSheetId="25">'[1]_11_居宅介護（名前定義）'!$C$249</definedName>
    <definedName name="_11_A通院２増８．５">'_11_居宅介護（名前定義）'!$C$249</definedName>
    <definedName name="_11_A通院２増８．５_補正">'[1]_11_居宅介護（名前定義）'!$C$507</definedName>
    <definedName name="_11_A通院２増９．０" localSheetId="17">'[1]_11_居宅介護（名前定義）'!$C$250</definedName>
    <definedName name="_11_A通院２増９．０" localSheetId="15">'[1]_11_居宅介護（名前定義）'!$C$250</definedName>
    <definedName name="_11_A通院２増９．０" localSheetId="13">'[1]_11_居宅介護（名前定義）'!$C$250</definedName>
    <definedName name="_11_A通院２増９．０" localSheetId="29">'[1]_11_居宅介護（名前定義）'!$C$250</definedName>
    <definedName name="_11_A通院２増９．０" localSheetId="27">'[1]_11_居宅介護（名前定義）'!$C$250</definedName>
    <definedName name="_11_A通院２増９．０" localSheetId="25">'[1]_11_居宅介護（名前定義）'!$C$250</definedName>
    <definedName name="_11_A通院２増９．０">'_11_居宅介護（名前定義）'!$C$250</definedName>
    <definedName name="_11_A通院２増９．０_補正">'[1]_11_居宅介護（名前定義）'!$C$508</definedName>
    <definedName name="_11_A通院２増９．５" localSheetId="17">'[1]_11_居宅介護（名前定義）'!$C$251</definedName>
    <definedName name="_11_A通院２増９．５" localSheetId="15">'[1]_11_居宅介護（名前定義）'!$C$251</definedName>
    <definedName name="_11_A通院２増９．５" localSheetId="13">'[1]_11_居宅介護（名前定義）'!$C$251</definedName>
    <definedName name="_11_A通院２増９．５" localSheetId="29">'[1]_11_居宅介護（名前定義）'!$C$251</definedName>
    <definedName name="_11_A通院２増９．５" localSheetId="27">'[1]_11_居宅介護（名前定義）'!$C$251</definedName>
    <definedName name="_11_A通院２増９．５" localSheetId="25">'[1]_11_居宅介護（名前定義）'!$C$251</definedName>
    <definedName name="_11_A通院２増９．５">'_11_居宅介護（名前定義）'!$C$251</definedName>
    <definedName name="_11_A通院２増９．５_補正">'[1]_11_居宅介護（名前定義）'!$C$509</definedName>
    <definedName name="_11_A通院乗降" localSheetId="17">'[1]_11_居宅介護（名前定義）'!$C$381</definedName>
    <definedName name="_11_A通院乗降" localSheetId="15">'[1]_11_居宅介護（名前定義）'!$C$381</definedName>
    <definedName name="_11_A通院乗降" localSheetId="13">'[1]_11_居宅介護（名前定義）'!$C$381</definedName>
    <definedName name="_11_A通院乗降" localSheetId="29">'[1]_11_居宅介護（名前定義）'!$C$381</definedName>
    <definedName name="_11_A通院乗降" localSheetId="27">'[1]_11_居宅介護（名前定義）'!$C$381</definedName>
    <definedName name="_11_A通院乗降" localSheetId="25">'[1]_11_居宅介護（名前定義）'!$C$381</definedName>
    <definedName name="_11_A通院乗降">'_11_居宅介護（名前定義）'!$C$381</definedName>
    <definedName name="_11_B家事０．５＿０．２５" localSheetId="17">'[1]_11_居宅介護（名前定義）'!$C$294</definedName>
    <definedName name="_11_B家事０．５＿０．２５" localSheetId="15">'[1]_11_居宅介護（名前定義）'!$C$294</definedName>
    <definedName name="_11_B家事０．５＿０．２５" localSheetId="13">'[1]_11_居宅介護（名前定義）'!$C$294</definedName>
    <definedName name="_11_B家事０．５＿０．２５" localSheetId="29">'[1]_11_居宅介護（名前定義）'!$C$294</definedName>
    <definedName name="_11_B家事０．５＿０．２５" localSheetId="27">'[1]_11_居宅介護（名前定義）'!$C$294</definedName>
    <definedName name="_11_B家事０．５＿０．２５" localSheetId="25">'[1]_11_居宅介護（名前定義）'!$C$294</definedName>
    <definedName name="_11_B家事０．５＿０．２５">'_11_居宅介護（名前定義）'!$C$294</definedName>
    <definedName name="_11_B家事０．５＿０．５" localSheetId="17">'[1]_11_居宅介護（名前定義）'!$C$295</definedName>
    <definedName name="_11_B家事０．５＿０．５" localSheetId="15">'[1]_11_居宅介護（名前定義）'!$C$295</definedName>
    <definedName name="_11_B家事０．５＿０．５" localSheetId="13">'[1]_11_居宅介護（名前定義）'!$C$295</definedName>
    <definedName name="_11_B家事０．５＿０．５" localSheetId="29">'[1]_11_居宅介護（名前定義）'!$C$295</definedName>
    <definedName name="_11_B家事０．５＿０．５" localSheetId="27">'[1]_11_居宅介護（名前定義）'!$C$295</definedName>
    <definedName name="_11_B家事０．５＿０．５" localSheetId="25">'[1]_11_居宅介護（名前定義）'!$C$295</definedName>
    <definedName name="_11_B家事０．５＿０．５">'_11_居宅介護（名前定義）'!$C$295</definedName>
    <definedName name="_11_B家事０．５＿０．７５" localSheetId="17">'[1]_11_居宅介護（名前定義）'!$C$296</definedName>
    <definedName name="_11_B家事０．５＿０．７５" localSheetId="15">'[1]_11_居宅介護（名前定義）'!$C$296</definedName>
    <definedName name="_11_B家事０．５＿０．７５" localSheetId="13">'[1]_11_居宅介護（名前定義）'!$C$296</definedName>
    <definedName name="_11_B家事０．５＿０．７５" localSheetId="29">'[1]_11_居宅介護（名前定義）'!$C$296</definedName>
    <definedName name="_11_B家事０．５＿０．７５" localSheetId="27">'[1]_11_居宅介護（名前定義）'!$C$296</definedName>
    <definedName name="_11_B家事０．５＿０．７５" localSheetId="25">'[1]_11_居宅介護（名前定義）'!$C$296</definedName>
    <definedName name="_11_B家事０．５＿０．７５">'_11_居宅介護（名前定義）'!$C$296</definedName>
    <definedName name="_11_B家事０．５＿１．０" localSheetId="17">'[1]_11_居宅介護（名前定義）'!$C$297</definedName>
    <definedName name="_11_B家事０．５＿１．０" localSheetId="15">'[1]_11_居宅介護（名前定義）'!$C$297</definedName>
    <definedName name="_11_B家事０．５＿１．０" localSheetId="13">'[1]_11_居宅介護（名前定義）'!$C$297</definedName>
    <definedName name="_11_B家事０．５＿１．０" localSheetId="29">'[1]_11_居宅介護（名前定義）'!$C$297</definedName>
    <definedName name="_11_B家事０．５＿１．０" localSheetId="27">'[1]_11_居宅介護（名前定義）'!$C$297</definedName>
    <definedName name="_11_B家事０．５＿１．０" localSheetId="25">'[1]_11_居宅介護（名前定義）'!$C$297</definedName>
    <definedName name="_11_B家事０．５＿１．０">'_11_居宅介護（名前定義）'!$C$297</definedName>
    <definedName name="_11_B家事０．７５＿０．２５" localSheetId="17">'[1]_11_居宅介護（名前定義）'!$C$298</definedName>
    <definedName name="_11_B家事０．７５＿０．２５" localSheetId="15">'[1]_11_居宅介護（名前定義）'!$C$298</definedName>
    <definedName name="_11_B家事０．７５＿０．２５" localSheetId="13">'[1]_11_居宅介護（名前定義）'!$C$298</definedName>
    <definedName name="_11_B家事０．７５＿０．２５" localSheetId="29">'[1]_11_居宅介護（名前定義）'!$C$298</definedName>
    <definedName name="_11_B家事０．７５＿０．２５" localSheetId="27">'[1]_11_居宅介護（名前定義）'!$C$298</definedName>
    <definedName name="_11_B家事０．７５＿０．２５" localSheetId="25">'[1]_11_居宅介護（名前定義）'!$C$298</definedName>
    <definedName name="_11_B家事０．７５＿０．２５">'_11_居宅介護（名前定義）'!$C$298</definedName>
    <definedName name="_11_B家事０．７５＿０．５" localSheetId="17">'[1]_11_居宅介護（名前定義）'!$C$299</definedName>
    <definedName name="_11_B家事０．７５＿０．５" localSheetId="15">'[1]_11_居宅介護（名前定義）'!$C$299</definedName>
    <definedName name="_11_B家事０．７５＿０．５" localSheetId="13">'[1]_11_居宅介護（名前定義）'!$C$299</definedName>
    <definedName name="_11_B家事０．７５＿０．５" localSheetId="29">'[1]_11_居宅介護（名前定義）'!$C$299</definedName>
    <definedName name="_11_B家事０．７５＿０．５" localSheetId="27">'[1]_11_居宅介護（名前定義）'!$C$299</definedName>
    <definedName name="_11_B家事０．７５＿０．５" localSheetId="25">'[1]_11_居宅介護（名前定義）'!$C$299</definedName>
    <definedName name="_11_B家事０．７５＿０．５">'_11_居宅介護（名前定義）'!$C$299</definedName>
    <definedName name="_11_B家事０．７５＿０．７５" localSheetId="17">'[1]_11_居宅介護（名前定義）'!$C$300</definedName>
    <definedName name="_11_B家事０．７５＿０．７５" localSheetId="15">'[1]_11_居宅介護（名前定義）'!$C$300</definedName>
    <definedName name="_11_B家事０．７５＿０．７５" localSheetId="13">'[1]_11_居宅介護（名前定義）'!$C$300</definedName>
    <definedName name="_11_B家事０．７５＿０．７５" localSheetId="29">'[1]_11_居宅介護（名前定義）'!$C$300</definedName>
    <definedName name="_11_B家事０．７５＿０．７５" localSheetId="27">'[1]_11_居宅介護（名前定義）'!$C$300</definedName>
    <definedName name="_11_B家事０．７５＿０．７５" localSheetId="25">'[1]_11_居宅介護（名前定義）'!$C$300</definedName>
    <definedName name="_11_B家事０．７５＿０．７５">'_11_居宅介護（名前定義）'!$C$300</definedName>
    <definedName name="_11_B家事１．０＿０．２５" localSheetId="17">'[1]_11_居宅介護（名前定義）'!$C$301</definedName>
    <definedName name="_11_B家事１．０＿０．２５" localSheetId="15">'[1]_11_居宅介護（名前定義）'!$C$301</definedName>
    <definedName name="_11_B家事１．０＿０．２５" localSheetId="13">'[1]_11_居宅介護（名前定義）'!$C$301</definedName>
    <definedName name="_11_B家事１．０＿０．２５" localSheetId="29">'[1]_11_居宅介護（名前定義）'!$C$301</definedName>
    <definedName name="_11_B家事１．０＿０．２５" localSheetId="27">'[1]_11_居宅介護（名前定義）'!$C$301</definedName>
    <definedName name="_11_B家事１．０＿０．２５" localSheetId="25">'[1]_11_居宅介護（名前定義）'!$C$301</definedName>
    <definedName name="_11_B家事１．０＿０．２５">'_11_居宅介護（名前定義）'!$C$301</definedName>
    <definedName name="_11_B家事１．０＿０．５" localSheetId="17">'[1]_11_居宅介護（名前定義）'!$C$302</definedName>
    <definedName name="_11_B家事１．０＿０．５" localSheetId="15">'[1]_11_居宅介護（名前定義）'!$C$302</definedName>
    <definedName name="_11_B家事１．０＿０．５" localSheetId="13">'[1]_11_居宅介護（名前定義）'!$C$302</definedName>
    <definedName name="_11_B家事１．０＿０．５" localSheetId="29">'[1]_11_居宅介護（名前定義）'!$C$302</definedName>
    <definedName name="_11_B家事１．０＿０．５" localSheetId="27">'[1]_11_居宅介護（名前定義）'!$C$302</definedName>
    <definedName name="_11_B家事１．０＿０．５" localSheetId="25">'[1]_11_居宅介護（名前定義）'!$C$302</definedName>
    <definedName name="_11_B家事１．０＿０．５">'_11_居宅介護（名前定義）'!$C$302</definedName>
    <definedName name="_11_B家事１．２５＿０．２５" localSheetId="17">'[1]_11_居宅介護（名前定義）'!$C$303</definedName>
    <definedName name="_11_B家事１．２５＿０．２５" localSheetId="15">'[1]_11_居宅介護（名前定義）'!$C$303</definedName>
    <definedName name="_11_B家事１．２５＿０．２５" localSheetId="13">'[1]_11_居宅介護（名前定義）'!$C$303</definedName>
    <definedName name="_11_B家事１．２５＿０．２５" localSheetId="29">'[1]_11_居宅介護（名前定義）'!$C$303</definedName>
    <definedName name="_11_B家事１．２５＿０．２５" localSheetId="27">'[1]_11_居宅介護（名前定義）'!$C$303</definedName>
    <definedName name="_11_B家事１．２５＿０．２５" localSheetId="25">'[1]_11_居宅介護（名前定義）'!$C$303</definedName>
    <definedName name="_11_B家事１．２５＿０．２５">'_11_居宅介護（名前定義）'!$C$303</definedName>
    <definedName name="_11_B重度研修１．０＿０．５" localSheetId="17">'[1]_11_居宅介護（名前定義）'!$C$284</definedName>
    <definedName name="_11_B重度研修１．０＿０．５" localSheetId="15">'[1]_11_居宅介護（名前定義）'!$C$284</definedName>
    <definedName name="_11_B重度研修１．０＿０．５" localSheetId="13">'[1]_11_居宅介護（名前定義）'!$C$284</definedName>
    <definedName name="_11_B重度研修１．０＿０．５" localSheetId="29">'[1]_11_居宅介護（名前定義）'!$C$284</definedName>
    <definedName name="_11_B重度研修１．０＿０．５" localSheetId="27">'[1]_11_居宅介護（名前定義）'!$C$284</definedName>
    <definedName name="_11_B重度研修１．０＿０．５" localSheetId="25">'[1]_11_居宅介護（名前定義）'!$C$284</definedName>
    <definedName name="_11_B重度研修１．０＿０．５">'_11_居宅介護（名前定義）'!$C$284</definedName>
    <definedName name="_11_B重度研修１．０＿１．０" localSheetId="17">'[1]_11_居宅介護（名前定義）'!$C$285</definedName>
    <definedName name="_11_B重度研修１．０＿１．０" localSheetId="15">'[1]_11_居宅介護（名前定義）'!$C$285</definedName>
    <definedName name="_11_B重度研修１．０＿１．０" localSheetId="13">'[1]_11_居宅介護（名前定義）'!$C$285</definedName>
    <definedName name="_11_B重度研修１．０＿１．０" localSheetId="29">'[1]_11_居宅介護（名前定義）'!$C$285</definedName>
    <definedName name="_11_B重度研修１．０＿１．０" localSheetId="27">'[1]_11_居宅介護（名前定義）'!$C$285</definedName>
    <definedName name="_11_B重度研修１．０＿１．０" localSheetId="25">'[1]_11_居宅介護（名前定義）'!$C$285</definedName>
    <definedName name="_11_B重度研修１．０＿１．０">'_11_居宅介護（名前定義）'!$C$285</definedName>
    <definedName name="_11_B重度研修１．０＿１．５" localSheetId="17">'[1]_11_居宅介護（名前定義）'!$C$286</definedName>
    <definedName name="_11_B重度研修１．０＿１．５" localSheetId="15">'[1]_11_居宅介護（名前定義）'!$C$286</definedName>
    <definedName name="_11_B重度研修１．０＿１．５" localSheetId="13">'[1]_11_居宅介護（名前定義）'!$C$286</definedName>
    <definedName name="_11_B重度研修１．０＿１．５" localSheetId="29">'[1]_11_居宅介護（名前定義）'!$C$286</definedName>
    <definedName name="_11_B重度研修１．０＿１．５" localSheetId="27">'[1]_11_居宅介護（名前定義）'!$C$286</definedName>
    <definedName name="_11_B重度研修１．０＿１．５" localSheetId="25">'[1]_11_居宅介護（名前定義）'!$C$286</definedName>
    <definedName name="_11_B重度研修１．０＿１．５">'_11_居宅介護（名前定義）'!$C$286</definedName>
    <definedName name="_11_B重度研修１．０＿２．０" localSheetId="17">'[1]_11_居宅介護（名前定義）'!$C$287</definedName>
    <definedName name="_11_B重度研修１．０＿２．０" localSheetId="15">'[1]_11_居宅介護（名前定義）'!$C$287</definedName>
    <definedName name="_11_B重度研修１．０＿２．０" localSheetId="13">'[1]_11_居宅介護（名前定義）'!$C$287</definedName>
    <definedName name="_11_B重度研修１．０＿２．０" localSheetId="29">'[1]_11_居宅介護（名前定義）'!$C$287</definedName>
    <definedName name="_11_B重度研修１．０＿２．０" localSheetId="27">'[1]_11_居宅介護（名前定義）'!$C$287</definedName>
    <definedName name="_11_B重度研修１．０＿２．０" localSheetId="25">'[1]_11_居宅介護（名前定義）'!$C$287</definedName>
    <definedName name="_11_B重度研修１．０＿２．０">'_11_居宅介護（名前定義）'!$C$287</definedName>
    <definedName name="_11_B重度研修１．５＿０．５" localSheetId="17">'[1]_11_居宅介護（名前定義）'!$C$288</definedName>
    <definedName name="_11_B重度研修１．５＿０．５" localSheetId="15">'[1]_11_居宅介護（名前定義）'!$C$288</definedName>
    <definedName name="_11_B重度研修１．５＿０．５" localSheetId="13">'[1]_11_居宅介護（名前定義）'!$C$288</definedName>
    <definedName name="_11_B重度研修１．５＿０．５" localSheetId="29">'[1]_11_居宅介護（名前定義）'!$C$288</definedName>
    <definedName name="_11_B重度研修１．５＿０．５" localSheetId="27">'[1]_11_居宅介護（名前定義）'!$C$288</definedName>
    <definedName name="_11_B重度研修１．５＿０．５" localSheetId="25">'[1]_11_居宅介護（名前定義）'!$C$288</definedName>
    <definedName name="_11_B重度研修１．５＿０．５">'_11_居宅介護（名前定義）'!$C$288</definedName>
    <definedName name="_11_B重度研修１．５＿１．０" localSheetId="17">'[1]_11_居宅介護（名前定義）'!$C$289</definedName>
    <definedName name="_11_B重度研修１．５＿１．０" localSheetId="15">'[1]_11_居宅介護（名前定義）'!$C$289</definedName>
    <definedName name="_11_B重度研修１．５＿１．０" localSheetId="13">'[1]_11_居宅介護（名前定義）'!$C$289</definedName>
    <definedName name="_11_B重度研修１．５＿１．０" localSheetId="29">'[1]_11_居宅介護（名前定義）'!$C$289</definedName>
    <definedName name="_11_B重度研修１．５＿１．０" localSheetId="27">'[1]_11_居宅介護（名前定義）'!$C$289</definedName>
    <definedName name="_11_B重度研修１．５＿１．０" localSheetId="25">'[1]_11_居宅介護（名前定義）'!$C$289</definedName>
    <definedName name="_11_B重度研修１．５＿１．０">'_11_居宅介護（名前定義）'!$C$289</definedName>
    <definedName name="_11_B重度研修１．５＿１．５" localSheetId="17">'[1]_11_居宅介護（名前定義）'!$C$290</definedName>
    <definedName name="_11_B重度研修１．５＿１．５" localSheetId="15">'[1]_11_居宅介護（名前定義）'!$C$290</definedName>
    <definedName name="_11_B重度研修１．５＿１．５" localSheetId="13">'[1]_11_居宅介護（名前定義）'!$C$290</definedName>
    <definedName name="_11_B重度研修１．５＿１．５" localSheetId="29">'[1]_11_居宅介護（名前定義）'!$C$290</definedName>
    <definedName name="_11_B重度研修１．５＿１．５" localSheetId="27">'[1]_11_居宅介護（名前定義）'!$C$290</definedName>
    <definedName name="_11_B重度研修１．５＿１．５" localSheetId="25">'[1]_11_居宅介護（名前定義）'!$C$290</definedName>
    <definedName name="_11_B重度研修１．５＿１．５">'_11_居宅介護（名前定義）'!$C$290</definedName>
    <definedName name="_11_B重度研修２．０＿０．５" localSheetId="17">'[1]_11_居宅介護（名前定義）'!$C$291</definedName>
    <definedName name="_11_B重度研修２．０＿０．５" localSheetId="15">'[1]_11_居宅介護（名前定義）'!$C$291</definedName>
    <definedName name="_11_B重度研修２．０＿０．５" localSheetId="13">'[1]_11_居宅介護（名前定義）'!$C$291</definedName>
    <definedName name="_11_B重度研修２．０＿０．５" localSheetId="29">'[1]_11_居宅介護（名前定義）'!$C$291</definedName>
    <definedName name="_11_B重度研修２．０＿０．５" localSheetId="27">'[1]_11_居宅介護（名前定義）'!$C$291</definedName>
    <definedName name="_11_B重度研修２．０＿０．５" localSheetId="25">'[1]_11_居宅介護（名前定義）'!$C$291</definedName>
    <definedName name="_11_B重度研修２．０＿０．５">'_11_居宅介護（名前定義）'!$C$291</definedName>
    <definedName name="_11_B重度研修２．０＿１．０" localSheetId="17">'[1]_11_居宅介護（名前定義）'!$C$292</definedName>
    <definedName name="_11_B重度研修２．０＿１．０" localSheetId="15">'[1]_11_居宅介護（名前定義）'!$C$292</definedName>
    <definedName name="_11_B重度研修２．０＿１．０" localSheetId="13">'[1]_11_居宅介護（名前定義）'!$C$292</definedName>
    <definedName name="_11_B重度研修２．０＿１．０" localSheetId="29">'[1]_11_居宅介護（名前定義）'!$C$292</definedName>
    <definedName name="_11_B重度研修２．０＿１．０" localSheetId="27">'[1]_11_居宅介護（名前定義）'!$C$292</definedName>
    <definedName name="_11_B重度研修２．０＿１．０" localSheetId="25">'[1]_11_居宅介護（名前定義）'!$C$292</definedName>
    <definedName name="_11_B重度研修２．０＿１．０">'_11_居宅介護（名前定義）'!$C$292</definedName>
    <definedName name="_11_B重度研修２．５＿０．５" localSheetId="17">'[1]_11_居宅介護（名前定義）'!$C$293</definedName>
    <definedName name="_11_B重度研修２．５＿０．５" localSheetId="15">'[1]_11_居宅介護（名前定義）'!$C$293</definedName>
    <definedName name="_11_B重度研修２．５＿０．５" localSheetId="13">'[1]_11_居宅介護（名前定義）'!$C$293</definedName>
    <definedName name="_11_B重度研修２．５＿０．５" localSheetId="29">'[1]_11_居宅介護（名前定義）'!$C$293</definedName>
    <definedName name="_11_B重度研修２．５＿０．５" localSheetId="27">'[1]_11_居宅介護（名前定義）'!$C$293</definedName>
    <definedName name="_11_B重度研修２．５＿０．５" localSheetId="25">'[1]_11_居宅介護（名前定義）'!$C$293</definedName>
    <definedName name="_11_B重度研修２．５＿０．５">'_11_居宅介護（名前定義）'!$C$293</definedName>
    <definedName name="_11_B身体０．５＿０．５" localSheetId="17">'[1]_11_居宅介護（名前定義）'!$C$254</definedName>
    <definedName name="_11_B身体０．５＿０．５" localSheetId="15">'[1]_11_居宅介護（名前定義）'!$C$254</definedName>
    <definedName name="_11_B身体０．５＿０．５" localSheetId="13">'[1]_11_居宅介護（名前定義）'!$C$254</definedName>
    <definedName name="_11_B身体０．５＿０．５" localSheetId="29">'[1]_11_居宅介護（名前定義）'!$C$254</definedName>
    <definedName name="_11_B身体０．５＿０．５" localSheetId="27">'[1]_11_居宅介護（名前定義）'!$C$254</definedName>
    <definedName name="_11_B身体０．５＿０．５" localSheetId="25">'[1]_11_居宅介護（名前定義）'!$C$254</definedName>
    <definedName name="_11_B身体０．５＿０．５">'_11_居宅介護（名前定義）'!$C$254</definedName>
    <definedName name="_11_B身体０．５＿１．０" localSheetId="17">'[1]_11_居宅介護（名前定義）'!$C$255</definedName>
    <definedName name="_11_B身体０．５＿１．０" localSheetId="15">'[1]_11_居宅介護（名前定義）'!$C$255</definedName>
    <definedName name="_11_B身体０．５＿１．０" localSheetId="13">'[1]_11_居宅介護（名前定義）'!$C$255</definedName>
    <definedName name="_11_B身体０．５＿１．０" localSheetId="29">'[1]_11_居宅介護（名前定義）'!$C$255</definedName>
    <definedName name="_11_B身体０．５＿１．０" localSheetId="27">'[1]_11_居宅介護（名前定義）'!$C$255</definedName>
    <definedName name="_11_B身体０．５＿１．０" localSheetId="25">'[1]_11_居宅介護（名前定義）'!$C$255</definedName>
    <definedName name="_11_B身体０．５＿１．０">'_11_居宅介護（名前定義）'!$C$255</definedName>
    <definedName name="_11_B身体０．５＿１．５" localSheetId="17">'[1]_11_居宅介護（名前定義）'!$C$256</definedName>
    <definedName name="_11_B身体０．５＿１．５" localSheetId="15">'[1]_11_居宅介護（名前定義）'!$C$256</definedName>
    <definedName name="_11_B身体０．５＿１．５" localSheetId="13">'[1]_11_居宅介護（名前定義）'!$C$256</definedName>
    <definedName name="_11_B身体０．５＿１．５" localSheetId="29">'[1]_11_居宅介護（名前定義）'!$C$256</definedName>
    <definedName name="_11_B身体０．５＿１．５" localSheetId="27">'[1]_11_居宅介護（名前定義）'!$C$256</definedName>
    <definedName name="_11_B身体０．５＿１．５" localSheetId="25">'[1]_11_居宅介護（名前定義）'!$C$256</definedName>
    <definedName name="_11_B身体０．５＿１．５">'_11_居宅介護（名前定義）'!$C$256</definedName>
    <definedName name="_11_B身体０．５＿２．０" localSheetId="17">'[1]_11_居宅介護（名前定義）'!$C$257</definedName>
    <definedName name="_11_B身体０．５＿２．０" localSheetId="15">'[1]_11_居宅介護（名前定義）'!$C$257</definedName>
    <definedName name="_11_B身体０．５＿２．０" localSheetId="13">'[1]_11_居宅介護（名前定義）'!$C$257</definedName>
    <definedName name="_11_B身体０．５＿２．０" localSheetId="29">'[1]_11_居宅介護（名前定義）'!$C$257</definedName>
    <definedName name="_11_B身体０．５＿２．０" localSheetId="27">'[1]_11_居宅介護（名前定義）'!$C$257</definedName>
    <definedName name="_11_B身体０．５＿２．０" localSheetId="25">'[1]_11_居宅介護（名前定義）'!$C$257</definedName>
    <definedName name="_11_B身体０．５＿２．０">'_11_居宅介護（名前定義）'!$C$257</definedName>
    <definedName name="_11_B身体０．５＿２．５" localSheetId="17">'[1]_11_居宅介護（名前定義）'!$C$258</definedName>
    <definedName name="_11_B身体０．５＿２．５" localSheetId="15">'[1]_11_居宅介護（名前定義）'!$C$258</definedName>
    <definedName name="_11_B身体０．５＿２．５" localSheetId="13">'[1]_11_居宅介護（名前定義）'!$C$258</definedName>
    <definedName name="_11_B身体０．５＿２．５" localSheetId="29">'[1]_11_居宅介護（名前定義）'!$C$258</definedName>
    <definedName name="_11_B身体０．５＿２．５" localSheetId="27">'[1]_11_居宅介護（名前定義）'!$C$258</definedName>
    <definedName name="_11_B身体０．５＿２．５" localSheetId="25">'[1]_11_居宅介護（名前定義）'!$C$258</definedName>
    <definedName name="_11_B身体０．５＿２．５">'_11_居宅介護（名前定義）'!$C$258</definedName>
    <definedName name="_11_B身体１．０＿０．５" localSheetId="17">'[1]_11_居宅介護（名前定義）'!$C$259</definedName>
    <definedName name="_11_B身体１．０＿０．５" localSheetId="15">'[1]_11_居宅介護（名前定義）'!$C$259</definedName>
    <definedName name="_11_B身体１．０＿０．５" localSheetId="13">'[1]_11_居宅介護（名前定義）'!$C$259</definedName>
    <definedName name="_11_B身体１．０＿０．５" localSheetId="29">'[1]_11_居宅介護（名前定義）'!$C$259</definedName>
    <definedName name="_11_B身体１．０＿０．５" localSheetId="27">'[1]_11_居宅介護（名前定義）'!$C$259</definedName>
    <definedName name="_11_B身体１．０＿０．５" localSheetId="25">'[1]_11_居宅介護（名前定義）'!$C$259</definedName>
    <definedName name="_11_B身体１．０＿０．５">'_11_居宅介護（名前定義）'!$C$259</definedName>
    <definedName name="_11_B身体１．０＿１．０" localSheetId="17">'[1]_11_居宅介護（名前定義）'!$C$260</definedName>
    <definedName name="_11_B身体１．０＿１．０" localSheetId="15">'[1]_11_居宅介護（名前定義）'!$C$260</definedName>
    <definedName name="_11_B身体１．０＿１．０" localSheetId="13">'[1]_11_居宅介護（名前定義）'!$C$260</definedName>
    <definedName name="_11_B身体１．０＿１．０" localSheetId="29">'[1]_11_居宅介護（名前定義）'!$C$260</definedName>
    <definedName name="_11_B身体１．０＿１．０" localSheetId="27">'[1]_11_居宅介護（名前定義）'!$C$260</definedName>
    <definedName name="_11_B身体１．０＿１．０" localSheetId="25">'[1]_11_居宅介護（名前定義）'!$C$260</definedName>
    <definedName name="_11_B身体１．０＿１．０">'_11_居宅介護（名前定義）'!$C$260</definedName>
    <definedName name="_11_B身体１．０＿１．５" localSheetId="17">'[1]_11_居宅介護（名前定義）'!$C$261</definedName>
    <definedName name="_11_B身体１．０＿１．５" localSheetId="15">'[1]_11_居宅介護（名前定義）'!$C$261</definedName>
    <definedName name="_11_B身体１．０＿１．５" localSheetId="13">'[1]_11_居宅介護（名前定義）'!$C$261</definedName>
    <definedName name="_11_B身体１．０＿１．５" localSheetId="29">'[1]_11_居宅介護（名前定義）'!$C$261</definedName>
    <definedName name="_11_B身体１．０＿１．５" localSheetId="27">'[1]_11_居宅介護（名前定義）'!$C$261</definedName>
    <definedName name="_11_B身体１．０＿１．５" localSheetId="25">'[1]_11_居宅介護（名前定義）'!$C$261</definedName>
    <definedName name="_11_B身体１．０＿１．５">'_11_居宅介護（名前定義）'!$C$261</definedName>
    <definedName name="_11_B身体１．０＿２．０" localSheetId="17">'[1]_11_居宅介護（名前定義）'!$C$262</definedName>
    <definedName name="_11_B身体１．０＿２．０" localSheetId="15">'[1]_11_居宅介護（名前定義）'!$C$262</definedName>
    <definedName name="_11_B身体１．０＿２．０" localSheetId="13">'[1]_11_居宅介護（名前定義）'!$C$262</definedName>
    <definedName name="_11_B身体１．０＿２．０" localSheetId="29">'[1]_11_居宅介護（名前定義）'!$C$262</definedName>
    <definedName name="_11_B身体１．０＿２．０" localSheetId="27">'[1]_11_居宅介護（名前定義）'!$C$262</definedName>
    <definedName name="_11_B身体１．０＿２．０" localSheetId="25">'[1]_11_居宅介護（名前定義）'!$C$262</definedName>
    <definedName name="_11_B身体１．０＿２．０">'_11_居宅介護（名前定義）'!$C$262</definedName>
    <definedName name="_11_B身体１．５＿０．５" localSheetId="17">'[1]_11_居宅介護（名前定義）'!$C$263</definedName>
    <definedName name="_11_B身体１．５＿０．５" localSheetId="15">'[1]_11_居宅介護（名前定義）'!$C$263</definedName>
    <definedName name="_11_B身体１．５＿０．５" localSheetId="13">'[1]_11_居宅介護（名前定義）'!$C$263</definedName>
    <definedName name="_11_B身体１．５＿０．５" localSheetId="29">'[1]_11_居宅介護（名前定義）'!$C$263</definedName>
    <definedName name="_11_B身体１．５＿０．５" localSheetId="27">'[1]_11_居宅介護（名前定義）'!$C$263</definedName>
    <definedName name="_11_B身体１．５＿０．５" localSheetId="25">'[1]_11_居宅介護（名前定義）'!$C$263</definedName>
    <definedName name="_11_B身体１．５＿０．５">'_11_居宅介護（名前定義）'!$C$263</definedName>
    <definedName name="_11_B身体１．５＿１．０" localSheetId="17">'[1]_11_居宅介護（名前定義）'!$C$264</definedName>
    <definedName name="_11_B身体１．５＿１．０" localSheetId="15">'[1]_11_居宅介護（名前定義）'!$C$264</definedName>
    <definedName name="_11_B身体１．５＿１．０" localSheetId="13">'[1]_11_居宅介護（名前定義）'!$C$264</definedName>
    <definedName name="_11_B身体１．５＿１．０" localSheetId="29">'[1]_11_居宅介護（名前定義）'!$C$264</definedName>
    <definedName name="_11_B身体１．５＿１．０" localSheetId="27">'[1]_11_居宅介護（名前定義）'!$C$264</definedName>
    <definedName name="_11_B身体１．５＿１．０" localSheetId="25">'[1]_11_居宅介護（名前定義）'!$C$264</definedName>
    <definedName name="_11_B身体１．５＿１．０">'_11_居宅介護（名前定義）'!$C$264</definedName>
    <definedName name="_11_B身体１．５＿１．５" localSheetId="17">'[1]_11_居宅介護（名前定義）'!$C$265</definedName>
    <definedName name="_11_B身体１．５＿１．５" localSheetId="15">'[1]_11_居宅介護（名前定義）'!$C$265</definedName>
    <definedName name="_11_B身体１．５＿１．５" localSheetId="13">'[1]_11_居宅介護（名前定義）'!$C$265</definedName>
    <definedName name="_11_B身体１．５＿１．５" localSheetId="29">'[1]_11_居宅介護（名前定義）'!$C$265</definedName>
    <definedName name="_11_B身体１．５＿１．５" localSheetId="27">'[1]_11_居宅介護（名前定義）'!$C$265</definedName>
    <definedName name="_11_B身体１．５＿１．５" localSheetId="25">'[1]_11_居宅介護（名前定義）'!$C$265</definedName>
    <definedName name="_11_B身体１．５＿１．５">'_11_居宅介護（名前定義）'!$C$265</definedName>
    <definedName name="_11_B身体２．０＿０．５" localSheetId="17">'[1]_11_居宅介護（名前定義）'!$C$266</definedName>
    <definedName name="_11_B身体２．０＿０．５" localSheetId="15">'[1]_11_居宅介護（名前定義）'!$C$266</definedName>
    <definedName name="_11_B身体２．０＿０．５" localSheetId="13">'[1]_11_居宅介護（名前定義）'!$C$266</definedName>
    <definedName name="_11_B身体２．０＿０．５" localSheetId="29">'[1]_11_居宅介護（名前定義）'!$C$266</definedName>
    <definedName name="_11_B身体２．０＿０．５" localSheetId="27">'[1]_11_居宅介護（名前定義）'!$C$266</definedName>
    <definedName name="_11_B身体２．０＿０．５" localSheetId="25">'[1]_11_居宅介護（名前定義）'!$C$266</definedName>
    <definedName name="_11_B身体２．０＿０．５">'_11_居宅介護（名前定義）'!$C$266</definedName>
    <definedName name="_11_B身体２．０＿１．０" localSheetId="17">'[1]_11_居宅介護（名前定義）'!$C$267</definedName>
    <definedName name="_11_B身体２．０＿１．０" localSheetId="15">'[1]_11_居宅介護（名前定義）'!$C$267</definedName>
    <definedName name="_11_B身体２．０＿１．０" localSheetId="13">'[1]_11_居宅介護（名前定義）'!$C$267</definedName>
    <definedName name="_11_B身体２．０＿１．０" localSheetId="29">'[1]_11_居宅介護（名前定義）'!$C$267</definedName>
    <definedName name="_11_B身体２．０＿１．０" localSheetId="27">'[1]_11_居宅介護（名前定義）'!$C$267</definedName>
    <definedName name="_11_B身体２．０＿１．０" localSheetId="25">'[1]_11_居宅介護（名前定義）'!$C$267</definedName>
    <definedName name="_11_B身体２．０＿１．０">'_11_居宅介護（名前定義）'!$C$267</definedName>
    <definedName name="_11_B身体２．５＿０．５" localSheetId="17">'[1]_11_居宅介護（名前定義）'!$C$268</definedName>
    <definedName name="_11_B身体２．５＿０．５" localSheetId="15">'[1]_11_居宅介護（名前定義）'!$C$268</definedName>
    <definedName name="_11_B身体２．５＿０．５" localSheetId="13">'[1]_11_居宅介護（名前定義）'!$C$268</definedName>
    <definedName name="_11_B身体２．５＿０．５" localSheetId="29">'[1]_11_居宅介護（名前定義）'!$C$268</definedName>
    <definedName name="_11_B身体２．５＿０．５" localSheetId="27">'[1]_11_居宅介護（名前定義）'!$C$268</definedName>
    <definedName name="_11_B身体２．５＿０．５" localSheetId="25">'[1]_11_居宅介護（名前定義）'!$C$268</definedName>
    <definedName name="_11_B身体２．５＿０．５">'_11_居宅介護（名前定義）'!$C$268</definedName>
    <definedName name="_11_B通院１０．５＿０．５" localSheetId="17">'[1]_11_居宅介護（名前定義）'!$C$269</definedName>
    <definedName name="_11_B通院１０．５＿０．５" localSheetId="15">'[1]_11_居宅介護（名前定義）'!$C$269</definedName>
    <definedName name="_11_B通院１０．５＿０．５" localSheetId="13">'[1]_11_居宅介護（名前定義）'!$C$269</definedName>
    <definedName name="_11_B通院１０．５＿０．５" localSheetId="29">'[1]_11_居宅介護（名前定義）'!$C$269</definedName>
    <definedName name="_11_B通院１０．５＿０．５" localSheetId="27">'[1]_11_居宅介護（名前定義）'!$C$269</definedName>
    <definedName name="_11_B通院１０．５＿０．５" localSheetId="25">'[1]_11_居宅介護（名前定義）'!$C$269</definedName>
    <definedName name="_11_B通院１０．５＿０．５">'_11_居宅介護（名前定義）'!$C$269</definedName>
    <definedName name="_11_B通院１０．５＿１．０" localSheetId="17">'[1]_11_居宅介護（名前定義）'!$C$270</definedName>
    <definedName name="_11_B通院１０．５＿１．０" localSheetId="15">'[1]_11_居宅介護（名前定義）'!$C$270</definedName>
    <definedName name="_11_B通院１０．５＿１．０" localSheetId="13">'[1]_11_居宅介護（名前定義）'!$C$270</definedName>
    <definedName name="_11_B通院１０．５＿１．０" localSheetId="29">'[1]_11_居宅介護（名前定義）'!$C$270</definedName>
    <definedName name="_11_B通院１０．５＿１．０" localSheetId="27">'[1]_11_居宅介護（名前定義）'!$C$270</definedName>
    <definedName name="_11_B通院１０．５＿１．０" localSheetId="25">'[1]_11_居宅介護（名前定義）'!$C$270</definedName>
    <definedName name="_11_B通院１０．５＿１．０">'_11_居宅介護（名前定義）'!$C$270</definedName>
    <definedName name="_11_B通院１０．５＿１．５" localSheetId="17">'[1]_11_居宅介護（名前定義）'!$C$271</definedName>
    <definedName name="_11_B通院１０．５＿１．５" localSheetId="15">'[1]_11_居宅介護（名前定義）'!$C$271</definedName>
    <definedName name="_11_B通院１０．５＿１．５" localSheetId="13">'[1]_11_居宅介護（名前定義）'!$C$271</definedName>
    <definedName name="_11_B通院１０．５＿１．５" localSheetId="29">'[1]_11_居宅介護（名前定義）'!$C$271</definedName>
    <definedName name="_11_B通院１０．５＿１．５" localSheetId="27">'[1]_11_居宅介護（名前定義）'!$C$271</definedName>
    <definedName name="_11_B通院１０．５＿１．５" localSheetId="25">'[1]_11_居宅介護（名前定義）'!$C$271</definedName>
    <definedName name="_11_B通院１０．５＿１．５">'_11_居宅介護（名前定義）'!$C$271</definedName>
    <definedName name="_11_B通院１０．５＿２．０" localSheetId="17">'[1]_11_居宅介護（名前定義）'!$C$272</definedName>
    <definedName name="_11_B通院１０．５＿２．０" localSheetId="15">'[1]_11_居宅介護（名前定義）'!$C$272</definedName>
    <definedName name="_11_B通院１０．５＿２．０" localSheetId="13">'[1]_11_居宅介護（名前定義）'!$C$272</definedName>
    <definedName name="_11_B通院１０．５＿２．０" localSheetId="29">'[1]_11_居宅介護（名前定義）'!$C$272</definedName>
    <definedName name="_11_B通院１０．５＿２．０" localSheetId="27">'[1]_11_居宅介護（名前定義）'!$C$272</definedName>
    <definedName name="_11_B通院１０．５＿２．０" localSheetId="25">'[1]_11_居宅介護（名前定義）'!$C$272</definedName>
    <definedName name="_11_B通院１０．５＿２．０">'_11_居宅介護（名前定義）'!$C$272</definedName>
    <definedName name="_11_B通院１０．５＿２．５" localSheetId="17">'[1]_11_居宅介護（名前定義）'!$C$273</definedName>
    <definedName name="_11_B通院１０．５＿２．５" localSheetId="15">'[1]_11_居宅介護（名前定義）'!$C$273</definedName>
    <definedName name="_11_B通院１０．５＿２．５" localSheetId="13">'[1]_11_居宅介護（名前定義）'!$C$273</definedName>
    <definedName name="_11_B通院１０．５＿２．５" localSheetId="29">'[1]_11_居宅介護（名前定義）'!$C$273</definedName>
    <definedName name="_11_B通院１０．５＿２．５" localSheetId="27">'[1]_11_居宅介護（名前定義）'!$C$273</definedName>
    <definedName name="_11_B通院１０．５＿２．５" localSheetId="25">'[1]_11_居宅介護（名前定義）'!$C$273</definedName>
    <definedName name="_11_B通院１０．５＿２．５">'_11_居宅介護（名前定義）'!$C$273</definedName>
    <definedName name="_11_B通院１１．０＿０．５" localSheetId="17">'[1]_11_居宅介護（名前定義）'!$C$274</definedName>
    <definedName name="_11_B通院１１．０＿０．５" localSheetId="15">'[1]_11_居宅介護（名前定義）'!$C$274</definedName>
    <definedName name="_11_B通院１１．０＿０．５" localSheetId="13">'[1]_11_居宅介護（名前定義）'!$C$274</definedName>
    <definedName name="_11_B通院１１．０＿０．５" localSheetId="29">'[1]_11_居宅介護（名前定義）'!$C$274</definedName>
    <definedName name="_11_B通院１１．０＿０．５" localSheetId="27">'[1]_11_居宅介護（名前定義）'!$C$274</definedName>
    <definedName name="_11_B通院１１．０＿０．５" localSheetId="25">'[1]_11_居宅介護（名前定義）'!$C$274</definedName>
    <definedName name="_11_B通院１１．０＿０．５">'_11_居宅介護（名前定義）'!$C$274</definedName>
    <definedName name="_11_B通院１１．０＿１．０" localSheetId="17">'[1]_11_居宅介護（名前定義）'!$C$275</definedName>
    <definedName name="_11_B通院１１．０＿１．０" localSheetId="15">'[1]_11_居宅介護（名前定義）'!$C$275</definedName>
    <definedName name="_11_B通院１１．０＿１．０" localSheetId="13">'[1]_11_居宅介護（名前定義）'!$C$275</definedName>
    <definedName name="_11_B通院１１．０＿１．０" localSheetId="29">'[1]_11_居宅介護（名前定義）'!$C$275</definedName>
    <definedName name="_11_B通院１１．０＿１．０" localSheetId="27">'[1]_11_居宅介護（名前定義）'!$C$275</definedName>
    <definedName name="_11_B通院１１．０＿１．０" localSheetId="25">'[1]_11_居宅介護（名前定義）'!$C$275</definedName>
    <definedName name="_11_B通院１１．０＿１．０">'_11_居宅介護（名前定義）'!$C$275</definedName>
    <definedName name="_11_B通院１１．０＿１．５" localSheetId="17">'[1]_11_居宅介護（名前定義）'!$C$276</definedName>
    <definedName name="_11_B通院１１．０＿１．５" localSheetId="15">'[1]_11_居宅介護（名前定義）'!$C$276</definedName>
    <definedName name="_11_B通院１１．０＿１．５" localSheetId="13">'[1]_11_居宅介護（名前定義）'!$C$276</definedName>
    <definedName name="_11_B通院１１．０＿１．５" localSheetId="29">'[1]_11_居宅介護（名前定義）'!$C$276</definedName>
    <definedName name="_11_B通院１１．０＿１．５" localSheetId="27">'[1]_11_居宅介護（名前定義）'!$C$276</definedName>
    <definedName name="_11_B通院１１．０＿１．５" localSheetId="25">'[1]_11_居宅介護（名前定義）'!$C$276</definedName>
    <definedName name="_11_B通院１１．０＿１．５">'_11_居宅介護（名前定義）'!$C$276</definedName>
    <definedName name="_11_B通院１１．０＿２．０" localSheetId="17">'[1]_11_居宅介護（名前定義）'!$C$277</definedName>
    <definedName name="_11_B通院１１．０＿２．０" localSheetId="15">'[1]_11_居宅介護（名前定義）'!$C$277</definedName>
    <definedName name="_11_B通院１１．０＿２．０" localSheetId="13">'[1]_11_居宅介護（名前定義）'!$C$277</definedName>
    <definedName name="_11_B通院１１．０＿２．０" localSheetId="29">'[1]_11_居宅介護（名前定義）'!$C$277</definedName>
    <definedName name="_11_B通院１１．０＿２．０" localSheetId="27">'[1]_11_居宅介護（名前定義）'!$C$277</definedName>
    <definedName name="_11_B通院１１．０＿２．０" localSheetId="25">'[1]_11_居宅介護（名前定義）'!$C$277</definedName>
    <definedName name="_11_B通院１１．０＿２．０">'_11_居宅介護（名前定義）'!$C$277</definedName>
    <definedName name="_11_B通院１１．５＿０．５" localSheetId="17">'[1]_11_居宅介護（名前定義）'!$C$278</definedName>
    <definedName name="_11_B通院１１．５＿０．５" localSheetId="15">'[1]_11_居宅介護（名前定義）'!$C$278</definedName>
    <definedName name="_11_B通院１１．５＿０．５" localSheetId="13">'[1]_11_居宅介護（名前定義）'!$C$278</definedName>
    <definedName name="_11_B通院１１．５＿０．５" localSheetId="29">'[1]_11_居宅介護（名前定義）'!$C$278</definedName>
    <definedName name="_11_B通院１１．５＿０．５" localSheetId="27">'[1]_11_居宅介護（名前定義）'!$C$278</definedName>
    <definedName name="_11_B通院１１．５＿０．５" localSheetId="25">'[1]_11_居宅介護（名前定義）'!$C$278</definedName>
    <definedName name="_11_B通院１１．５＿０．５">'_11_居宅介護（名前定義）'!$C$278</definedName>
    <definedName name="_11_B通院１１．５＿１．０" localSheetId="17">'[1]_11_居宅介護（名前定義）'!$C$279</definedName>
    <definedName name="_11_B通院１１．５＿１．０" localSheetId="15">'[1]_11_居宅介護（名前定義）'!$C$279</definedName>
    <definedName name="_11_B通院１１．５＿１．０" localSheetId="13">'[1]_11_居宅介護（名前定義）'!$C$279</definedName>
    <definedName name="_11_B通院１１．５＿１．０" localSheetId="29">'[1]_11_居宅介護（名前定義）'!$C$279</definedName>
    <definedName name="_11_B通院１１．５＿１．０" localSheetId="27">'[1]_11_居宅介護（名前定義）'!$C$279</definedName>
    <definedName name="_11_B通院１１．５＿１．０" localSheetId="25">'[1]_11_居宅介護（名前定義）'!$C$279</definedName>
    <definedName name="_11_B通院１１．５＿１．０">'_11_居宅介護（名前定義）'!$C$279</definedName>
    <definedName name="_11_B通院１１．５＿１．５" localSheetId="17">'[1]_11_居宅介護（名前定義）'!$C$280</definedName>
    <definedName name="_11_B通院１１．５＿１．５" localSheetId="15">'[1]_11_居宅介護（名前定義）'!$C$280</definedName>
    <definedName name="_11_B通院１１．５＿１．５" localSheetId="13">'[1]_11_居宅介護（名前定義）'!$C$280</definedName>
    <definedName name="_11_B通院１１．５＿１．５" localSheetId="29">'[1]_11_居宅介護（名前定義）'!$C$280</definedName>
    <definedName name="_11_B通院１１．５＿１．５" localSheetId="27">'[1]_11_居宅介護（名前定義）'!$C$280</definedName>
    <definedName name="_11_B通院１１．５＿１．５" localSheetId="25">'[1]_11_居宅介護（名前定義）'!$C$280</definedName>
    <definedName name="_11_B通院１１．５＿１．５">'_11_居宅介護（名前定義）'!$C$280</definedName>
    <definedName name="_11_B通院１２．０＿０．５" localSheetId="17">'[1]_11_居宅介護（名前定義）'!$C$281</definedName>
    <definedName name="_11_B通院１２．０＿０．５" localSheetId="15">'[1]_11_居宅介護（名前定義）'!$C$281</definedName>
    <definedName name="_11_B通院１２．０＿０．５" localSheetId="13">'[1]_11_居宅介護（名前定義）'!$C$281</definedName>
    <definedName name="_11_B通院１２．０＿０．５" localSheetId="29">'[1]_11_居宅介護（名前定義）'!$C$281</definedName>
    <definedName name="_11_B通院１２．０＿０．５" localSheetId="27">'[1]_11_居宅介護（名前定義）'!$C$281</definedName>
    <definedName name="_11_B通院１２．０＿０．５" localSheetId="25">'[1]_11_居宅介護（名前定義）'!$C$281</definedName>
    <definedName name="_11_B通院１２．０＿０．５">'_11_居宅介護（名前定義）'!$C$281</definedName>
    <definedName name="_11_B通院１２．０＿１．０" localSheetId="17">'[1]_11_居宅介護（名前定義）'!$C$282</definedName>
    <definedName name="_11_B通院１２．０＿１．０" localSheetId="15">'[1]_11_居宅介護（名前定義）'!$C$282</definedName>
    <definedName name="_11_B通院１２．０＿１．０" localSheetId="13">'[1]_11_居宅介護（名前定義）'!$C$282</definedName>
    <definedName name="_11_B通院１２．０＿１．０" localSheetId="29">'[1]_11_居宅介護（名前定義）'!$C$282</definedName>
    <definedName name="_11_B通院１２．０＿１．０" localSheetId="27">'[1]_11_居宅介護（名前定義）'!$C$282</definedName>
    <definedName name="_11_B通院１２．０＿１．０" localSheetId="25">'[1]_11_居宅介護（名前定義）'!$C$282</definedName>
    <definedName name="_11_B通院１２．０＿１．０">'_11_居宅介護（名前定義）'!$C$282</definedName>
    <definedName name="_11_B通院１２．５＿０．５" localSheetId="17">'[1]_11_居宅介護（名前定義）'!$C$283</definedName>
    <definedName name="_11_B通院１２．５＿０．５" localSheetId="15">'[1]_11_居宅介護（名前定義）'!$C$283</definedName>
    <definedName name="_11_B通院１２．５＿０．５" localSheetId="13">'[1]_11_居宅介護（名前定義）'!$C$283</definedName>
    <definedName name="_11_B通院１２．５＿０．５" localSheetId="29">'[1]_11_居宅介護（名前定義）'!$C$283</definedName>
    <definedName name="_11_B通院１２．５＿０．５" localSheetId="27">'[1]_11_居宅介護（名前定義）'!$C$283</definedName>
    <definedName name="_11_B通院１２．５＿０．５" localSheetId="25">'[1]_11_居宅介護（名前定義）'!$C$283</definedName>
    <definedName name="_11_B通院１２．５＿０．５">'_11_居宅介護（名前定義）'!$C$283</definedName>
    <definedName name="_11_B通院２０．５＿０．５" localSheetId="17">'[1]_11_居宅介護（名前定義）'!$C$304</definedName>
    <definedName name="_11_B通院２０．５＿０．５" localSheetId="15">'[1]_11_居宅介護（名前定義）'!$C$304</definedName>
    <definedName name="_11_B通院２０．５＿０．５" localSheetId="13">'[1]_11_居宅介護（名前定義）'!$C$304</definedName>
    <definedName name="_11_B通院２０．５＿０．５" localSheetId="29">'[1]_11_居宅介護（名前定義）'!$C$304</definedName>
    <definedName name="_11_B通院２０．５＿０．５" localSheetId="27">'[1]_11_居宅介護（名前定義）'!$C$304</definedName>
    <definedName name="_11_B通院２０．５＿０．５" localSheetId="25">'[1]_11_居宅介護（名前定義）'!$C$304</definedName>
    <definedName name="_11_B通院２０．５＿０．５">'_11_居宅介護（名前定義）'!$C$304</definedName>
    <definedName name="_11_B通院２０．５＿１．０" localSheetId="17">'[1]_11_居宅介護（名前定義）'!$C$305</definedName>
    <definedName name="_11_B通院２０．５＿１．０" localSheetId="15">'[1]_11_居宅介護（名前定義）'!$C$305</definedName>
    <definedName name="_11_B通院２０．５＿１．０" localSheetId="13">'[1]_11_居宅介護（名前定義）'!$C$305</definedName>
    <definedName name="_11_B通院２０．５＿１．０" localSheetId="29">'[1]_11_居宅介護（名前定義）'!$C$305</definedName>
    <definedName name="_11_B通院２０．５＿１．０" localSheetId="27">'[1]_11_居宅介護（名前定義）'!$C$305</definedName>
    <definedName name="_11_B通院２０．５＿１．０" localSheetId="25">'[1]_11_居宅介護（名前定義）'!$C$305</definedName>
    <definedName name="_11_B通院２０．５＿１．０">'_11_居宅介護（名前定義）'!$C$305</definedName>
    <definedName name="_11_B通院２１．０＿０．５" localSheetId="17">'[1]_11_居宅介護（名前定義）'!$C$306</definedName>
    <definedName name="_11_B通院２１．０＿０．５" localSheetId="15">'[1]_11_居宅介護（名前定義）'!$C$306</definedName>
    <definedName name="_11_B通院２１．０＿０．５" localSheetId="13">'[1]_11_居宅介護（名前定義）'!$C$306</definedName>
    <definedName name="_11_B通院２１．０＿０．５" localSheetId="29">'[1]_11_居宅介護（名前定義）'!$C$306</definedName>
    <definedName name="_11_B通院２１．０＿０．５" localSheetId="27">'[1]_11_居宅介護（名前定義）'!$C$306</definedName>
    <definedName name="_11_B通院２１．０＿０．５" localSheetId="25">'[1]_11_居宅介護（名前定義）'!$C$306</definedName>
    <definedName name="_11_B通院２１．０＿０．５">'_11_居宅介護（名前定義）'!$C$306</definedName>
    <definedName name="_11_C家事０．５＿０．２５＿０．２５" localSheetId="17">'[1]_11_居宅介護（名前定義）'!$C$357</definedName>
    <definedName name="_11_C家事０．５＿０．２５＿０．２５" localSheetId="15">'[1]_11_居宅介護（名前定義）'!$C$357</definedName>
    <definedName name="_11_C家事０．５＿０．２５＿０．２５" localSheetId="13">'[1]_11_居宅介護（名前定義）'!$C$357</definedName>
    <definedName name="_11_C家事０．５＿０．２５＿０．２５" localSheetId="29">'[1]_11_居宅介護（名前定義）'!$C$357</definedName>
    <definedName name="_11_C家事０．５＿０．２５＿０．２５" localSheetId="27">'[1]_11_居宅介護（名前定義）'!$C$357</definedName>
    <definedName name="_11_C家事０．５＿０．２５＿０．２５" localSheetId="25">'[1]_11_居宅介護（名前定義）'!$C$357</definedName>
    <definedName name="_11_C家事０．５＿０．２５＿０．２５">'_11_居宅介護（名前定義）'!$C$357</definedName>
    <definedName name="_11_C家事０．５＿０．２５＿０．５" localSheetId="17">'[1]_11_居宅介護（名前定義）'!$C$358</definedName>
    <definedName name="_11_C家事０．５＿０．２５＿０．５" localSheetId="15">'[1]_11_居宅介護（名前定義）'!$C$358</definedName>
    <definedName name="_11_C家事０．５＿０．２５＿０．５" localSheetId="13">'[1]_11_居宅介護（名前定義）'!$C$358</definedName>
    <definedName name="_11_C家事０．５＿０．２５＿０．５" localSheetId="29">'[1]_11_居宅介護（名前定義）'!$C$358</definedName>
    <definedName name="_11_C家事０．５＿０．２５＿０．５" localSheetId="27">'[1]_11_居宅介護（名前定義）'!$C$358</definedName>
    <definedName name="_11_C家事０．５＿０．２５＿０．５" localSheetId="25">'[1]_11_居宅介護（名前定義）'!$C$358</definedName>
    <definedName name="_11_C家事０．５＿０．２５＿０．５">'_11_居宅介護（名前定義）'!$C$358</definedName>
    <definedName name="_11_C家事０．５＿０．２５＿０．７５" localSheetId="17">'[1]_11_居宅介護（名前定義）'!$C$359</definedName>
    <definedName name="_11_C家事０．５＿０．２５＿０．７５" localSheetId="15">'[1]_11_居宅介護（名前定義）'!$C$359</definedName>
    <definedName name="_11_C家事０．５＿０．２５＿０．７５" localSheetId="13">'[1]_11_居宅介護（名前定義）'!$C$359</definedName>
    <definedName name="_11_C家事０．５＿０．２５＿０．７５" localSheetId="29">'[1]_11_居宅介護（名前定義）'!$C$359</definedName>
    <definedName name="_11_C家事０．５＿０．２５＿０．７５" localSheetId="27">'[1]_11_居宅介護（名前定義）'!$C$359</definedName>
    <definedName name="_11_C家事０．５＿０．２５＿０．７５" localSheetId="25">'[1]_11_居宅介護（名前定義）'!$C$359</definedName>
    <definedName name="_11_C家事０．５＿０．２５＿０．７５">'_11_居宅介護（名前定義）'!$C$359</definedName>
    <definedName name="_11_C家事０．５＿０．５＿０．２５" localSheetId="17">'[1]_11_居宅介護（名前定義）'!$C$360</definedName>
    <definedName name="_11_C家事０．５＿０．５＿０．２５" localSheetId="15">'[1]_11_居宅介護（名前定義）'!$C$360</definedName>
    <definedName name="_11_C家事０．５＿０．５＿０．２５" localSheetId="13">'[1]_11_居宅介護（名前定義）'!$C$360</definedName>
    <definedName name="_11_C家事０．５＿０．５＿０．２５" localSheetId="29">'[1]_11_居宅介護（名前定義）'!$C$360</definedName>
    <definedName name="_11_C家事０．５＿０．５＿０．２５" localSheetId="27">'[1]_11_居宅介護（名前定義）'!$C$360</definedName>
    <definedName name="_11_C家事０．５＿０．５＿０．２５" localSheetId="25">'[1]_11_居宅介護（名前定義）'!$C$360</definedName>
    <definedName name="_11_C家事０．５＿０．５＿０．２５">'_11_居宅介護（名前定義）'!$C$360</definedName>
    <definedName name="_11_C家事０．５＿０．５＿０．５" localSheetId="17">'[1]_11_居宅介護（名前定義）'!$C$361</definedName>
    <definedName name="_11_C家事０．５＿０．５＿０．５" localSheetId="15">'[1]_11_居宅介護（名前定義）'!$C$361</definedName>
    <definedName name="_11_C家事０．５＿０．５＿０．５" localSheetId="13">'[1]_11_居宅介護（名前定義）'!$C$361</definedName>
    <definedName name="_11_C家事０．５＿０．５＿０．５" localSheetId="29">'[1]_11_居宅介護（名前定義）'!$C$361</definedName>
    <definedName name="_11_C家事０．５＿０．５＿０．５" localSheetId="27">'[1]_11_居宅介護（名前定義）'!$C$361</definedName>
    <definedName name="_11_C家事０．５＿０．５＿０．５" localSheetId="25">'[1]_11_居宅介護（名前定義）'!$C$361</definedName>
    <definedName name="_11_C家事０．５＿０．５＿０．５">'_11_居宅介護（名前定義）'!$C$361</definedName>
    <definedName name="_11_C家事０．５＿０．７５＿０．２５" localSheetId="17">'[1]_11_居宅介護（名前定義）'!$C$362</definedName>
    <definedName name="_11_C家事０．５＿０．７５＿０．２５" localSheetId="15">'[1]_11_居宅介護（名前定義）'!$C$362</definedName>
    <definedName name="_11_C家事０．５＿０．７５＿０．２５" localSheetId="13">'[1]_11_居宅介護（名前定義）'!$C$362</definedName>
    <definedName name="_11_C家事０．５＿０．７５＿０．２５" localSheetId="29">'[1]_11_居宅介護（名前定義）'!$C$362</definedName>
    <definedName name="_11_C家事０．５＿０．７５＿０．２５" localSheetId="27">'[1]_11_居宅介護（名前定義）'!$C$362</definedName>
    <definedName name="_11_C家事０．５＿０．７５＿０．２５" localSheetId="25">'[1]_11_居宅介護（名前定義）'!$C$362</definedName>
    <definedName name="_11_C家事０．５＿０．７５＿０．２５">'_11_居宅介護（名前定義）'!$C$362</definedName>
    <definedName name="_11_C家事０．７５＿０．２５＿０．２５" localSheetId="17">'[1]_11_居宅介護（名前定義）'!$C$363</definedName>
    <definedName name="_11_C家事０．７５＿０．２５＿０．２５" localSheetId="15">'[1]_11_居宅介護（名前定義）'!$C$363</definedName>
    <definedName name="_11_C家事０．７５＿０．２５＿０．２５" localSheetId="13">'[1]_11_居宅介護（名前定義）'!$C$363</definedName>
    <definedName name="_11_C家事０．７５＿０．２５＿０．２５" localSheetId="29">'[1]_11_居宅介護（名前定義）'!$C$363</definedName>
    <definedName name="_11_C家事０．７５＿０．２５＿０．２５" localSheetId="27">'[1]_11_居宅介護（名前定義）'!$C$363</definedName>
    <definedName name="_11_C家事０．７５＿０．２５＿０．２５" localSheetId="25">'[1]_11_居宅介護（名前定義）'!$C$363</definedName>
    <definedName name="_11_C家事０．７５＿０．２５＿０．２５">'_11_居宅介護（名前定義）'!$C$363</definedName>
    <definedName name="_11_C家事０．７５＿０．２５＿０．５" localSheetId="17">'[1]_11_居宅介護（名前定義）'!$C$364</definedName>
    <definedName name="_11_C家事０．７５＿０．２５＿０．５" localSheetId="15">'[1]_11_居宅介護（名前定義）'!$C$364</definedName>
    <definedName name="_11_C家事０．７５＿０．２５＿０．５" localSheetId="13">'[1]_11_居宅介護（名前定義）'!$C$364</definedName>
    <definedName name="_11_C家事０．７５＿０．２５＿０．５" localSheetId="29">'[1]_11_居宅介護（名前定義）'!$C$364</definedName>
    <definedName name="_11_C家事０．７５＿０．２５＿０．５" localSheetId="27">'[1]_11_居宅介護（名前定義）'!$C$364</definedName>
    <definedName name="_11_C家事０．７５＿０．２５＿０．５" localSheetId="25">'[1]_11_居宅介護（名前定義）'!$C$364</definedName>
    <definedName name="_11_C家事０．７５＿０．２５＿０．５">'_11_居宅介護（名前定義）'!$C$364</definedName>
    <definedName name="_11_C家事０．７５＿０．５＿０．２５" localSheetId="17">'[1]_11_居宅介護（名前定義）'!$C$365</definedName>
    <definedName name="_11_C家事０．７５＿０．５＿０．２５" localSheetId="15">'[1]_11_居宅介護（名前定義）'!$C$365</definedName>
    <definedName name="_11_C家事０．７５＿０．５＿０．２５" localSheetId="13">'[1]_11_居宅介護（名前定義）'!$C$365</definedName>
    <definedName name="_11_C家事０．７５＿０．５＿０．２５" localSheetId="29">'[1]_11_居宅介護（名前定義）'!$C$365</definedName>
    <definedName name="_11_C家事０．７５＿０．５＿０．２５" localSheetId="27">'[1]_11_居宅介護（名前定義）'!$C$365</definedName>
    <definedName name="_11_C家事０．７５＿０．５＿０．２５" localSheetId="25">'[1]_11_居宅介護（名前定義）'!$C$365</definedName>
    <definedName name="_11_C家事０．７５＿０．５＿０．２５">'_11_居宅介護（名前定義）'!$C$365</definedName>
    <definedName name="_11_C家事１．０＿０．２５＿０．２５" localSheetId="17">'[1]_11_居宅介護（名前定義）'!$C$366</definedName>
    <definedName name="_11_C家事１．０＿０．２５＿０．２５" localSheetId="15">'[1]_11_居宅介護（名前定義）'!$C$366</definedName>
    <definedName name="_11_C家事１．０＿０．２５＿０．２５" localSheetId="13">'[1]_11_居宅介護（名前定義）'!$C$366</definedName>
    <definedName name="_11_C家事１．０＿０．２５＿０．２５" localSheetId="29">'[1]_11_居宅介護（名前定義）'!$C$366</definedName>
    <definedName name="_11_C家事１．０＿０．２５＿０．２５" localSheetId="27">'[1]_11_居宅介護（名前定義）'!$C$366</definedName>
    <definedName name="_11_C家事１．０＿０．２５＿０．２５" localSheetId="25">'[1]_11_居宅介護（名前定義）'!$C$366</definedName>
    <definedName name="_11_C家事１．０＿０．２５＿０．２５">'_11_居宅介護（名前定義）'!$C$366</definedName>
    <definedName name="_11_C重度研修１．０＿０．５＿０．５" localSheetId="17">'[1]_11_居宅介護（名前定義）'!$C$347</definedName>
    <definedName name="_11_C重度研修１．０＿０．５＿０．５" localSheetId="15">'[1]_11_居宅介護（名前定義）'!$C$347</definedName>
    <definedName name="_11_C重度研修１．０＿０．５＿０．５" localSheetId="13">'[1]_11_居宅介護（名前定義）'!$C$347</definedName>
    <definedName name="_11_C重度研修１．０＿０．５＿０．５" localSheetId="29">'[1]_11_居宅介護（名前定義）'!$C$347</definedName>
    <definedName name="_11_C重度研修１．０＿０．５＿０．５" localSheetId="27">'[1]_11_居宅介護（名前定義）'!$C$347</definedName>
    <definedName name="_11_C重度研修１．０＿０．５＿０．５" localSheetId="25">'[1]_11_居宅介護（名前定義）'!$C$347</definedName>
    <definedName name="_11_C重度研修１．０＿０．５＿０．５">'_11_居宅介護（名前定義）'!$C$347</definedName>
    <definedName name="_11_C重度研修１．０＿０．５＿１．０" localSheetId="17">'[1]_11_居宅介護（名前定義）'!$C$348</definedName>
    <definedName name="_11_C重度研修１．０＿０．５＿１．０" localSheetId="15">'[1]_11_居宅介護（名前定義）'!$C$348</definedName>
    <definedName name="_11_C重度研修１．０＿０．５＿１．０" localSheetId="13">'[1]_11_居宅介護（名前定義）'!$C$348</definedName>
    <definedName name="_11_C重度研修１．０＿０．５＿１．０" localSheetId="29">'[1]_11_居宅介護（名前定義）'!$C$348</definedName>
    <definedName name="_11_C重度研修１．０＿０．５＿１．０" localSheetId="27">'[1]_11_居宅介護（名前定義）'!$C$348</definedName>
    <definedName name="_11_C重度研修１．０＿０．５＿１．０" localSheetId="25">'[1]_11_居宅介護（名前定義）'!$C$348</definedName>
    <definedName name="_11_C重度研修１．０＿０．５＿１．０">'_11_居宅介護（名前定義）'!$C$348</definedName>
    <definedName name="_11_C重度研修１．０＿０．５＿１．５" localSheetId="17">'[1]_11_居宅介護（名前定義）'!$C$349</definedName>
    <definedName name="_11_C重度研修１．０＿０．５＿１．５" localSheetId="15">'[1]_11_居宅介護（名前定義）'!$C$349</definedName>
    <definedName name="_11_C重度研修１．０＿０．５＿１．５" localSheetId="13">'[1]_11_居宅介護（名前定義）'!$C$349</definedName>
    <definedName name="_11_C重度研修１．０＿０．５＿１．５" localSheetId="29">'[1]_11_居宅介護（名前定義）'!$C$349</definedName>
    <definedName name="_11_C重度研修１．０＿０．５＿１．５" localSheetId="27">'[1]_11_居宅介護（名前定義）'!$C$349</definedName>
    <definedName name="_11_C重度研修１．０＿０．５＿１．５" localSheetId="25">'[1]_11_居宅介護（名前定義）'!$C$349</definedName>
    <definedName name="_11_C重度研修１．０＿０．５＿１．５">'_11_居宅介護（名前定義）'!$C$349</definedName>
    <definedName name="_11_C重度研修１．０＿１．０＿０．５" localSheetId="17">'[1]_11_居宅介護（名前定義）'!$C$350</definedName>
    <definedName name="_11_C重度研修１．０＿１．０＿０．５" localSheetId="15">'[1]_11_居宅介護（名前定義）'!$C$350</definedName>
    <definedName name="_11_C重度研修１．０＿１．０＿０．５" localSheetId="13">'[1]_11_居宅介護（名前定義）'!$C$350</definedName>
    <definedName name="_11_C重度研修１．０＿１．０＿０．５" localSheetId="29">'[1]_11_居宅介護（名前定義）'!$C$350</definedName>
    <definedName name="_11_C重度研修１．０＿１．０＿０．５" localSheetId="27">'[1]_11_居宅介護（名前定義）'!$C$350</definedName>
    <definedName name="_11_C重度研修１．０＿１．０＿０．５" localSheetId="25">'[1]_11_居宅介護（名前定義）'!$C$350</definedName>
    <definedName name="_11_C重度研修１．０＿１．０＿０．５">'_11_居宅介護（名前定義）'!$C$350</definedName>
    <definedName name="_11_C重度研修１．０＿１．０＿１．０" localSheetId="17">'[1]_11_居宅介護（名前定義）'!$C$351</definedName>
    <definedName name="_11_C重度研修１．０＿１．０＿１．０" localSheetId="15">'[1]_11_居宅介護（名前定義）'!$C$351</definedName>
    <definedName name="_11_C重度研修１．０＿１．０＿１．０" localSheetId="13">'[1]_11_居宅介護（名前定義）'!$C$351</definedName>
    <definedName name="_11_C重度研修１．０＿１．０＿１．０" localSheetId="29">'[1]_11_居宅介護（名前定義）'!$C$351</definedName>
    <definedName name="_11_C重度研修１．０＿１．０＿１．０" localSheetId="27">'[1]_11_居宅介護（名前定義）'!$C$351</definedName>
    <definedName name="_11_C重度研修１．０＿１．０＿１．０" localSheetId="25">'[1]_11_居宅介護（名前定義）'!$C$351</definedName>
    <definedName name="_11_C重度研修１．０＿１．０＿１．０">'_11_居宅介護（名前定義）'!$C$351</definedName>
    <definedName name="_11_C重度研修１．０＿１．５＿０．５" localSheetId="17">'[1]_11_居宅介護（名前定義）'!$C$352</definedName>
    <definedName name="_11_C重度研修１．０＿１．５＿０．５" localSheetId="15">'[1]_11_居宅介護（名前定義）'!$C$352</definedName>
    <definedName name="_11_C重度研修１．０＿１．５＿０．５" localSheetId="13">'[1]_11_居宅介護（名前定義）'!$C$352</definedName>
    <definedName name="_11_C重度研修１．０＿１．５＿０．５" localSheetId="29">'[1]_11_居宅介護（名前定義）'!$C$352</definedName>
    <definedName name="_11_C重度研修１．０＿１．５＿０．５" localSheetId="27">'[1]_11_居宅介護（名前定義）'!$C$352</definedName>
    <definedName name="_11_C重度研修１．０＿１．５＿０．５" localSheetId="25">'[1]_11_居宅介護（名前定義）'!$C$352</definedName>
    <definedName name="_11_C重度研修１．０＿１．５＿０．５">'_11_居宅介護（名前定義）'!$C$352</definedName>
    <definedName name="_11_C重度研修１．５＿０．５＿０．５" localSheetId="17">'[1]_11_居宅介護（名前定義）'!$C$353</definedName>
    <definedName name="_11_C重度研修１．５＿０．５＿０．５" localSheetId="15">'[1]_11_居宅介護（名前定義）'!$C$353</definedName>
    <definedName name="_11_C重度研修１．５＿０．５＿０．５" localSheetId="13">'[1]_11_居宅介護（名前定義）'!$C$353</definedName>
    <definedName name="_11_C重度研修１．５＿０．５＿０．５" localSheetId="29">'[1]_11_居宅介護（名前定義）'!$C$353</definedName>
    <definedName name="_11_C重度研修１．５＿０．５＿０．５" localSheetId="27">'[1]_11_居宅介護（名前定義）'!$C$353</definedName>
    <definedName name="_11_C重度研修１．５＿０．５＿０．５" localSheetId="25">'[1]_11_居宅介護（名前定義）'!$C$353</definedName>
    <definedName name="_11_C重度研修１．５＿０．５＿０．５">'_11_居宅介護（名前定義）'!$C$353</definedName>
    <definedName name="_11_C重度研修１．５＿０．５＿１．０" localSheetId="17">'[1]_11_居宅介護（名前定義）'!$C$354</definedName>
    <definedName name="_11_C重度研修１．５＿０．５＿１．０" localSheetId="15">'[1]_11_居宅介護（名前定義）'!$C$354</definedName>
    <definedName name="_11_C重度研修１．５＿０．５＿１．０" localSheetId="13">'[1]_11_居宅介護（名前定義）'!$C$354</definedName>
    <definedName name="_11_C重度研修１．５＿０．５＿１．０" localSheetId="29">'[1]_11_居宅介護（名前定義）'!$C$354</definedName>
    <definedName name="_11_C重度研修１．５＿０．５＿１．０" localSheetId="27">'[1]_11_居宅介護（名前定義）'!$C$354</definedName>
    <definedName name="_11_C重度研修１．５＿０．５＿１．０" localSheetId="25">'[1]_11_居宅介護（名前定義）'!$C$354</definedName>
    <definedName name="_11_C重度研修１．５＿０．５＿１．０">'_11_居宅介護（名前定義）'!$C$354</definedName>
    <definedName name="_11_C重度研修１．５＿１．０＿０．５" localSheetId="17">'[1]_11_居宅介護（名前定義）'!$C$355</definedName>
    <definedName name="_11_C重度研修１．５＿１．０＿０．５" localSheetId="15">'[1]_11_居宅介護（名前定義）'!$C$355</definedName>
    <definedName name="_11_C重度研修１．５＿１．０＿０．５" localSheetId="13">'[1]_11_居宅介護（名前定義）'!$C$355</definedName>
    <definedName name="_11_C重度研修１．５＿１．０＿０．５" localSheetId="29">'[1]_11_居宅介護（名前定義）'!$C$355</definedName>
    <definedName name="_11_C重度研修１．５＿１．０＿０．５" localSheetId="27">'[1]_11_居宅介護（名前定義）'!$C$355</definedName>
    <definedName name="_11_C重度研修１．５＿１．０＿０．５" localSheetId="25">'[1]_11_居宅介護（名前定義）'!$C$355</definedName>
    <definedName name="_11_C重度研修１．５＿１．０＿０．５">'_11_居宅介護（名前定義）'!$C$355</definedName>
    <definedName name="_11_C重度研修２．０＿０．５＿０．５" localSheetId="17">'[1]_11_居宅介護（名前定義）'!$C$356</definedName>
    <definedName name="_11_C重度研修２．０＿０．５＿０．５" localSheetId="15">'[1]_11_居宅介護（名前定義）'!$C$356</definedName>
    <definedName name="_11_C重度研修２．０＿０．５＿０．５" localSheetId="13">'[1]_11_居宅介護（名前定義）'!$C$356</definedName>
    <definedName name="_11_C重度研修２．０＿０．５＿０．５" localSheetId="29">'[1]_11_居宅介護（名前定義）'!$C$356</definedName>
    <definedName name="_11_C重度研修２．０＿０．５＿０．５" localSheetId="27">'[1]_11_居宅介護（名前定義）'!$C$356</definedName>
    <definedName name="_11_C重度研修２．０＿０．５＿０．５" localSheetId="25">'[1]_11_居宅介護（名前定義）'!$C$356</definedName>
    <definedName name="_11_C重度研修２．０＿０．５＿０．５">'_11_居宅介護（名前定義）'!$C$356</definedName>
    <definedName name="_11_C身体０．５＿０．５＿０．５" localSheetId="17">'[1]_11_居宅介護（名前定義）'!$C$307</definedName>
    <definedName name="_11_C身体０．５＿０．５＿０．５" localSheetId="15">'[1]_11_居宅介護（名前定義）'!$C$307</definedName>
    <definedName name="_11_C身体０．５＿０．５＿０．５" localSheetId="13">'[1]_11_居宅介護（名前定義）'!$C$307</definedName>
    <definedName name="_11_C身体０．５＿０．５＿０．５" localSheetId="29">'[1]_11_居宅介護（名前定義）'!$C$307</definedName>
    <definedName name="_11_C身体０．５＿０．５＿０．５" localSheetId="27">'[1]_11_居宅介護（名前定義）'!$C$307</definedName>
    <definedName name="_11_C身体０．５＿０．５＿０．５" localSheetId="25">'[1]_11_居宅介護（名前定義）'!$C$307</definedName>
    <definedName name="_11_C身体０．５＿０．５＿０．５">'_11_居宅介護（名前定義）'!$C$307</definedName>
    <definedName name="_11_C身体０．５＿０．５＿１．０" localSheetId="17">'[1]_11_居宅介護（名前定義）'!$C$308</definedName>
    <definedName name="_11_C身体０．５＿０．５＿１．０" localSheetId="15">'[1]_11_居宅介護（名前定義）'!$C$308</definedName>
    <definedName name="_11_C身体０．５＿０．５＿１．０" localSheetId="13">'[1]_11_居宅介護（名前定義）'!$C$308</definedName>
    <definedName name="_11_C身体０．５＿０．５＿１．０" localSheetId="29">'[1]_11_居宅介護（名前定義）'!$C$308</definedName>
    <definedName name="_11_C身体０．５＿０．５＿１．０" localSheetId="27">'[1]_11_居宅介護（名前定義）'!$C$308</definedName>
    <definedName name="_11_C身体０．５＿０．５＿１．０" localSheetId="25">'[1]_11_居宅介護（名前定義）'!$C$308</definedName>
    <definedName name="_11_C身体０．５＿０．５＿１．０">'_11_居宅介護（名前定義）'!$C$308</definedName>
    <definedName name="_11_C身体０．５＿０．５＿１．５" localSheetId="17">'[1]_11_居宅介護（名前定義）'!$C$309</definedName>
    <definedName name="_11_C身体０．５＿０．５＿１．５" localSheetId="15">'[1]_11_居宅介護（名前定義）'!$C$309</definedName>
    <definedName name="_11_C身体０．５＿０．５＿１．５" localSheetId="13">'[1]_11_居宅介護（名前定義）'!$C$309</definedName>
    <definedName name="_11_C身体０．５＿０．５＿１．５" localSheetId="29">'[1]_11_居宅介護（名前定義）'!$C$309</definedName>
    <definedName name="_11_C身体０．５＿０．５＿１．５" localSheetId="27">'[1]_11_居宅介護（名前定義）'!$C$309</definedName>
    <definedName name="_11_C身体０．５＿０．５＿１．５" localSheetId="25">'[1]_11_居宅介護（名前定義）'!$C$309</definedName>
    <definedName name="_11_C身体０．５＿０．５＿１．５">'_11_居宅介護（名前定義）'!$C$309</definedName>
    <definedName name="_11_C身体０．５＿０．５＿２．０" localSheetId="17">'[1]_11_居宅介護（名前定義）'!$C$310</definedName>
    <definedName name="_11_C身体０．５＿０．５＿２．０" localSheetId="15">'[1]_11_居宅介護（名前定義）'!$C$310</definedName>
    <definedName name="_11_C身体０．５＿０．５＿２．０" localSheetId="13">'[1]_11_居宅介護（名前定義）'!$C$310</definedName>
    <definedName name="_11_C身体０．５＿０．５＿２．０" localSheetId="29">'[1]_11_居宅介護（名前定義）'!$C$310</definedName>
    <definedName name="_11_C身体０．５＿０．５＿２．０" localSheetId="27">'[1]_11_居宅介護（名前定義）'!$C$310</definedName>
    <definedName name="_11_C身体０．５＿０．５＿２．０" localSheetId="25">'[1]_11_居宅介護（名前定義）'!$C$310</definedName>
    <definedName name="_11_C身体０．５＿０．５＿２．０">'_11_居宅介護（名前定義）'!$C$310</definedName>
    <definedName name="_11_C身体０．５＿１．０＿０．５" localSheetId="17">'[1]_11_居宅介護（名前定義）'!$C$311</definedName>
    <definedName name="_11_C身体０．５＿１．０＿０．５" localSheetId="15">'[1]_11_居宅介護（名前定義）'!$C$311</definedName>
    <definedName name="_11_C身体０．５＿１．０＿０．５" localSheetId="13">'[1]_11_居宅介護（名前定義）'!$C$311</definedName>
    <definedName name="_11_C身体０．５＿１．０＿０．５" localSheetId="29">'[1]_11_居宅介護（名前定義）'!$C$311</definedName>
    <definedName name="_11_C身体０．５＿１．０＿０．５" localSheetId="27">'[1]_11_居宅介護（名前定義）'!$C$311</definedName>
    <definedName name="_11_C身体０．５＿１．０＿０．５" localSheetId="25">'[1]_11_居宅介護（名前定義）'!$C$311</definedName>
    <definedName name="_11_C身体０．５＿１．０＿０．５">'_11_居宅介護（名前定義）'!$C$311</definedName>
    <definedName name="_11_C身体０．５＿１．０＿１．０" localSheetId="17">'[1]_11_居宅介護（名前定義）'!$C$312</definedName>
    <definedName name="_11_C身体０．５＿１．０＿１．０" localSheetId="15">'[1]_11_居宅介護（名前定義）'!$C$312</definedName>
    <definedName name="_11_C身体０．５＿１．０＿１．０" localSheetId="13">'[1]_11_居宅介護（名前定義）'!$C$312</definedName>
    <definedName name="_11_C身体０．５＿１．０＿１．０" localSheetId="29">'[1]_11_居宅介護（名前定義）'!$C$312</definedName>
    <definedName name="_11_C身体０．５＿１．０＿１．０" localSheetId="27">'[1]_11_居宅介護（名前定義）'!$C$312</definedName>
    <definedName name="_11_C身体０．５＿１．０＿１．０" localSheetId="25">'[1]_11_居宅介護（名前定義）'!$C$312</definedName>
    <definedName name="_11_C身体０．５＿１．０＿１．０">'_11_居宅介護（名前定義）'!$C$312</definedName>
    <definedName name="_11_C身体０．５＿１．０＿１．５" localSheetId="17">'[1]_11_居宅介護（名前定義）'!$C$313</definedName>
    <definedName name="_11_C身体０．５＿１．０＿１．５" localSheetId="15">'[1]_11_居宅介護（名前定義）'!$C$313</definedName>
    <definedName name="_11_C身体０．５＿１．０＿１．５" localSheetId="13">'[1]_11_居宅介護（名前定義）'!$C$313</definedName>
    <definedName name="_11_C身体０．５＿１．０＿１．５" localSheetId="29">'[1]_11_居宅介護（名前定義）'!$C$313</definedName>
    <definedName name="_11_C身体０．５＿１．０＿１．５" localSheetId="27">'[1]_11_居宅介護（名前定義）'!$C$313</definedName>
    <definedName name="_11_C身体０．５＿１．０＿１．５" localSheetId="25">'[1]_11_居宅介護（名前定義）'!$C$313</definedName>
    <definedName name="_11_C身体０．５＿１．０＿１．５">'_11_居宅介護（名前定義）'!$C$313</definedName>
    <definedName name="_11_C身体０．５＿１．５＿０．５" localSheetId="17">'[1]_11_居宅介護（名前定義）'!$C$314</definedName>
    <definedName name="_11_C身体０．５＿１．５＿０．５" localSheetId="15">'[1]_11_居宅介護（名前定義）'!$C$314</definedName>
    <definedName name="_11_C身体０．５＿１．５＿０．５" localSheetId="13">'[1]_11_居宅介護（名前定義）'!$C$314</definedName>
    <definedName name="_11_C身体０．５＿１．５＿０．５" localSheetId="29">'[1]_11_居宅介護（名前定義）'!$C$314</definedName>
    <definedName name="_11_C身体０．５＿１．５＿０．５" localSheetId="27">'[1]_11_居宅介護（名前定義）'!$C$314</definedName>
    <definedName name="_11_C身体０．５＿１．５＿０．５" localSheetId="25">'[1]_11_居宅介護（名前定義）'!$C$314</definedName>
    <definedName name="_11_C身体０．５＿１．５＿０．５">'_11_居宅介護（名前定義）'!$C$314</definedName>
    <definedName name="_11_C身体０．５＿１．５＿１．０" localSheetId="17">'[1]_11_居宅介護（名前定義）'!$C$315</definedName>
    <definedName name="_11_C身体０．５＿１．５＿１．０" localSheetId="15">'[1]_11_居宅介護（名前定義）'!$C$315</definedName>
    <definedName name="_11_C身体０．５＿１．５＿１．０" localSheetId="13">'[1]_11_居宅介護（名前定義）'!$C$315</definedName>
    <definedName name="_11_C身体０．５＿１．５＿１．０" localSheetId="29">'[1]_11_居宅介護（名前定義）'!$C$315</definedName>
    <definedName name="_11_C身体０．５＿１．５＿１．０" localSheetId="27">'[1]_11_居宅介護（名前定義）'!$C$315</definedName>
    <definedName name="_11_C身体０．５＿１．５＿１．０" localSheetId="25">'[1]_11_居宅介護（名前定義）'!$C$315</definedName>
    <definedName name="_11_C身体０．５＿１．５＿１．０">'_11_居宅介護（名前定義）'!$C$315</definedName>
    <definedName name="_11_C身体０．５＿２．０＿０．５" localSheetId="17">'[1]_11_居宅介護（名前定義）'!$C$316</definedName>
    <definedName name="_11_C身体０．５＿２．０＿０．５" localSheetId="15">'[1]_11_居宅介護（名前定義）'!$C$316</definedName>
    <definedName name="_11_C身体０．５＿２．０＿０．５" localSheetId="13">'[1]_11_居宅介護（名前定義）'!$C$316</definedName>
    <definedName name="_11_C身体０．５＿２．０＿０．５" localSheetId="29">'[1]_11_居宅介護（名前定義）'!$C$316</definedName>
    <definedName name="_11_C身体０．５＿２．０＿０．５" localSheetId="27">'[1]_11_居宅介護（名前定義）'!$C$316</definedName>
    <definedName name="_11_C身体０．５＿２．０＿０．５" localSheetId="25">'[1]_11_居宅介護（名前定義）'!$C$316</definedName>
    <definedName name="_11_C身体０．５＿２．０＿０．５">'_11_居宅介護（名前定義）'!$C$316</definedName>
    <definedName name="_11_C身体１．０＿０．５＿０．５" localSheetId="17">'[1]_11_居宅介護（名前定義）'!$C$317</definedName>
    <definedName name="_11_C身体１．０＿０．５＿０．５" localSheetId="15">'[1]_11_居宅介護（名前定義）'!$C$317</definedName>
    <definedName name="_11_C身体１．０＿０．５＿０．５" localSheetId="13">'[1]_11_居宅介護（名前定義）'!$C$317</definedName>
    <definedName name="_11_C身体１．０＿０．５＿０．５" localSheetId="29">'[1]_11_居宅介護（名前定義）'!$C$317</definedName>
    <definedName name="_11_C身体１．０＿０．５＿０．５" localSheetId="27">'[1]_11_居宅介護（名前定義）'!$C$317</definedName>
    <definedName name="_11_C身体１．０＿０．５＿０．５" localSheetId="25">'[1]_11_居宅介護（名前定義）'!$C$317</definedName>
    <definedName name="_11_C身体１．０＿０．５＿０．５">'_11_居宅介護（名前定義）'!$C$317</definedName>
    <definedName name="_11_C身体１．０＿０．５＿１．０" localSheetId="17">'[1]_11_居宅介護（名前定義）'!$C$318</definedName>
    <definedName name="_11_C身体１．０＿０．５＿１．０" localSheetId="15">'[1]_11_居宅介護（名前定義）'!$C$318</definedName>
    <definedName name="_11_C身体１．０＿０．５＿１．０" localSheetId="13">'[1]_11_居宅介護（名前定義）'!$C$318</definedName>
    <definedName name="_11_C身体１．０＿０．５＿１．０" localSheetId="29">'[1]_11_居宅介護（名前定義）'!$C$318</definedName>
    <definedName name="_11_C身体１．０＿０．５＿１．０" localSheetId="27">'[1]_11_居宅介護（名前定義）'!$C$318</definedName>
    <definedName name="_11_C身体１．０＿０．５＿１．０" localSheetId="25">'[1]_11_居宅介護（名前定義）'!$C$318</definedName>
    <definedName name="_11_C身体１．０＿０．５＿１．０">'_11_居宅介護（名前定義）'!$C$318</definedName>
    <definedName name="_11_C身体１．０＿０．５＿１．５" localSheetId="17">'[1]_11_居宅介護（名前定義）'!$C$319</definedName>
    <definedName name="_11_C身体１．０＿０．５＿１．５" localSheetId="15">'[1]_11_居宅介護（名前定義）'!$C$319</definedName>
    <definedName name="_11_C身体１．０＿０．５＿１．５" localSheetId="13">'[1]_11_居宅介護（名前定義）'!$C$319</definedName>
    <definedName name="_11_C身体１．０＿０．５＿１．５" localSheetId="29">'[1]_11_居宅介護（名前定義）'!$C$319</definedName>
    <definedName name="_11_C身体１．０＿０．５＿１．５" localSheetId="27">'[1]_11_居宅介護（名前定義）'!$C$319</definedName>
    <definedName name="_11_C身体１．０＿０．５＿１．５" localSheetId="25">'[1]_11_居宅介護（名前定義）'!$C$319</definedName>
    <definedName name="_11_C身体１．０＿０．５＿１．５">'_11_居宅介護（名前定義）'!$C$319</definedName>
    <definedName name="_11_C身体１．０＿１．０＿０．５" localSheetId="17">'[1]_11_居宅介護（名前定義）'!$C$320</definedName>
    <definedName name="_11_C身体１．０＿１．０＿０．５" localSheetId="15">'[1]_11_居宅介護（名前定義）'!$C$320</definedName>
    <definedName name="_11_C身体１．０＿１．０＿０．５" localSheetId="13">'[1]_11_居宅介護（名前定義）'!$C$320</definedName>
    <definedName name="_11_C身体１．０＿１．０＿０．５" localSheetId="29">'[1]_11_居宅介護（名前定義）'!$C$320</definedName>
    <definedName name="_11_C身体１．０＿１．０＿０．５" localSheetId="27">'[1]_11_居宅介護（名前定義）'!$C$320</definedName>
    <definedName name="_11_C身体１．０＿１．０＿０．５" localSheetId="25">'[1]_11_居宅介護（名前定義）'!$C$320</definedName>
    <definedName name="_11_C身体１．０＿１．０＿０．５">'_11_居宅介護（名前定義）'!$C$320</definedName>
    <definedName name="_11_C身体１．０＿１．０＿１．０" localSheetId="17">'[1]_11_居宅介護（名前定義）'!$C$321</definedName>
    <definedName name="_11_C身体１．０＿１．０＿１．０" localSheetId="15">'[1]_11_居宅介護（名前定義）'!$C$321</definedName>
    <definedName name="_11_C身体１．０＿１．０＿１．０" localSheetId="13">'[1]_11_居宅介護（名前定義）'!$C$321</definedName>
    <definedName name="_11_C身体１．０＿１．０＿１．０" localSheetId="29">'[1]_11_居宅介護（名前定義）'!$C$321</definedName>
    <definedName name="_11_C身体１．０＿１．０＿１．０" localSheetId="27">'[1]_11_居宅介護（名前定義）'!$C$321</definedName>
    <definedName name="_11_C身体１．０＿１．０＿１．０" localSheetId="25">'[1]_11_居宅介護（名前定義）'!$C$321</definedName>
    <definedName name="_11_C身体１．０＿１．０＿１．０">'_11_居宅介護（名前定義）'!$C$321</definedName>
    <definedName name="_11_C身体１．０＿１．５＿０．５" localSheetId="17">'[1]_11_居宅介護（名前定義）'!$C$322</definedName>
    <definedName name="_11_C身体１．０＿１．５＿０．５" localSheetId="15">'[1]_11_居宅介護（名前定義）'!$C$322</definedName>
    <definedName name="_11_C身体１．０＿１．５＿０．５" localSheetId="13">'[1]_11_居宅介護（名前定義）'!$C$322</definedName>
    <definedName name="_11_C身体１．０＿１．５＿０．５" localSheetId="29">'[1]_11_居宅介護（名前定義）'!$C$322</definedName>
    <definedName name="_11_C身体１．０＿１．５＿０．５" localSheetId="27">'[1]_11_居宅介護（名前定義）'!$C$322</definedName>
    <definedName name="_11_C身体１．０＿１．５＿０．５" localSheetId="25">'[1]_11_居宅介護（名前定義）'!$C$322</definedName>
    <definedName name="_11_C身体１．０＿１．５＿０．５">'_11_居宅介護（名前定義）'!$C$322</definedName>
    <definedName name="_11_C身体１．５＿０．５＿０．５" localSheetId="17">'[1]_11_居宅介護（名前定義）'!$C$323</definedName>
    <definedName name="_11_C身体１．５＿０．５＿０．５" localSheetId="15">'[1]_11_居宅介護（名前定義）'!$C$323</definedName>
    <definedName name="_11_C身体１．５＿０．５＿０．５" localSheetId="13">'[1]_11_居宅介護（名前定義）'!$C$323</definedName>
    <definedName name="_11_C身体１．５＿０．５＿０．５" localSheetId="29">'[1]_11_居宅介護（名前定義）'!$C$323</definedName>
    <definedName name="_11_C身体１．５＿０．５＿０．５" localSheetId="27">'[1]_11_居宅介護（名前定義）'!$C$323</definedName>
    <definedName name="_11_C身体１．５＿０．５＿０．５" localSheetId="25">'[1]_11_居宅介護（名前定義）'!$C$323</definedName>
    <definedName name="_11_C身体１．５＿０．５＿０．５">'_11_居宅介護（名前定義）'!$C$323</definedName>
    <definedName name="_11_C身体１．５＿０．５＿１．０" localSheetId="17">'[1]_11_居宅介護（名前定義）'!$C$324</definedName>
    <definedName name="_11_C身体１．５＿０．５＿１．０" localSheetId="15">'[1]_11_居宅介護（名前定義）'!$C$324</definedName>
    <definedName name="_11_C身体１．５＿０．５＿１．０" localSheetId="13">'[1]_11_居宅介護（名前定義）'!$C$324</definedName>
    <definedName name="_11_C身体１．５＿０．５＿１．０" localSheetId="29">'[1]_11_居宅介護（名前定義）'!$C$324</definedName>
    <definedName name="_11_C身体１．５＿０．５＿１．０" localSheetId="27">'[1]_11_居宅介護（名前定義）'!$C$324</definedName>
    <definedName name="_11_C身体１．５＿０．５＿１．０" localSheetId="25">'[1]_11_居宅介護（名前定義）'!$C$324</definedName>
    <definedName name="_11_C身体１．５＿０．５＿１．０">'_11_居宅介護（名前定義）'!$C$324</definedName>
    <definedName name="_11_C身体１．５＿１．０＿０．５" localSheetId="17">'[1]_11_居宅介護（名前定義）'!$C$325</definedName>
    <definedName name="_11_C身体１．５＿１．０＿０．５" localSheetId="15">'[1]_11_居宅介護（名前定義）'!$C$325</definedName>
    <definedName name="_11_C身体１．５＿１．０＿０．５" localSheetId="13">'[1]_11_居宅介護（名前定義）'!$C$325</definedName>
    <definedName name="_11_C身体１．５＿１．０＿０．５" localSheetId="29">'[1]_11_居宅介護（名前定義）'!$C$325</definedName>
    <definedName name="_11_C身体１．５＿１．０＿０．５" localSheetId="27">'[1]_11_居宅介護（名前定義）'!$C$325</definedName>
    <definedName name="_11_C身体１．５＿１．０＿０．５" localSheetId="25">'[1]_11_居宅介護（名前定義）'!$C$325</definedName>
    <definedName name="_11_C身体１．５＿１．０＿０．５">'_11_居宅介護（名前定義）'!$C$325</definedName>
    <definedName name="_11_C身体２．０＿０．５＿０．５" localSheetId="17">'[1]_11_居宅介護（名前定義）'!$C$326</definedName>
    <definedName name="_11_C身体２．０＿０．５＿０．５" localSheetId="15">'[1]_11_居宅介護（名前定義）'!$C$326</definedName>
    <definedName name="_11_C身体２．０＿０．５＿０．５" localSheetId="13">'[1]_11_居宅介護（名前定義）'!$C$326</definedName>
    <definedName name="_11_C身体２．０＿０．５＿０．５" localSheetId="29">'[1]_11_居宅介護（名前定義）'!$C$326</definedName>
    <definedName name="_11_C身体２．０＿０．５＿０．５" localSheetId="27">'[1]_11_居宅介護（名前定義）'!$C$326</definedName>
    <definedName name="_11_C身体２．０＿０．５＿０．５" localSheetId="25">'[1]_11_居宅介護（名前定義）'!$C$326</definedName>
    <definedName name="_11_C身体２．０＿０．５＿０．５">'_11_居宅介護（名前定義）'!$C$326</definedName>
    <definedName name="_11_C通院１０．５＿０．５＿０．５" localSheetId="17">'[1]_11_居宅介護（名前定義）'!$C$327</definedName>
    <definedName name="_11_C通院１０．５＿０．５＿０．５" localSheetId="15">'[1]_11_居宅介護（名前定義）'!$C$327</definedName>
    <definedName name="_11_C通院１０．５＿０．５＿０．５" localSheetId="13">'[1]_11_居宅介護（名前定義）'!$C$327</definedName>
    <definedName name="_11_C通院１０．５＿０．５＿０．５" localSheetId="29">'[1]_11_居宅介護（名前定義）'!$C$327</definedName>
    <definedName name="_11_C通院１０．５＿０．５＿０．５" localSheetId="27">'[1]_11_居宅介護（名前定義）'!$C$327</definedName>
    <definedName name="_11_C通院１０．５＿０．５＿０．５" localSheetId="25">'[1]_11_居宅介護（名前定義）'!$C$327</definedName>
    <definedName name="_11_C通院１０．５＿０．５＿０．５">'_11_居宅介護（名前定義）'!$C$327</definedName>
    <definedName name="_11_C通院１０．５＿０．５＿１．０" localSheetId="17">'[1]_11_居宅介護（名前定義）'!$C$328</definedName>
    <definedName name="_11_C通院１０．５＿０．５＿１．０" localSheetId="15">'[1]_11_居宅介護（名前定義）'!$C$328</definedName>
    <definedName name="_11_C通院１０．５＿０．５＿１．０" localSheetId="13">'[1]_11_居宅介護（名前定義）'!$C$328</definedName>
    <definedName name="_11_C通院１０．５＿０．５＿１．０" localSheetId="29">'[1]_11_居宅介護（名前定義）'!$C$328</definedName>
    <definedName name="_11_C通院１０．５＿０．５＿１．０" localSheetId="27">'[1]_11_居宅介護（名前定義）'!$C$328</definedName>
    <definedName name="_11_C通院１０．５＿０．５＿１．０" localSheetId="25">'[1]_11_居宅介護（名前定義）'!$C$328</definedName>
    <definedName name="_11_C通院１０．５＿０．５＿１．０">'_11_居宅介護（名前定義）'!$C$328</definedName>
    <definedName name="_11_C通院１０．５＿０．５＿１．５" localSheetId="17">'[1]_11_居宅介護（名前定義）'!$C$329</definedName>
    <definedName name="_11_C通院１０．５＿０．５＿１．５" localSheetId="15">'[1]_11_居宅介護（名前定義）'!$C$329</definedName>
    <definedName name="_11_C通院１０．５＿０．５＿１．５" localSheetId="13">'[1]_11_居宅介護（名前定義）'!$C$329</definedName>
    <definedName name="_11_C通院１０．５＿０．５＿１．５" localSheetId="29">'[1]_11_居宅介護（名前定義）'!$C$329</definedName>
    <definedName name="_11_C通院１０．５＿０．５＿１．５" localSheetId="27">'[1]_11_居宅介護（名前定義）'!$C$329</definedName>
    <definedName name="_11_C通院１０．５＿０．５＿１．５" localSheetId="25">'[1]_11_居宅介護（名前定義）'!$C$329</definedName>
    <definedName name="_11_C通院１０．５＿０．５＿１．５">'_11_居宅介護（名前定義）'!$C$329</definedName>
    <definedName name="_11_C通院１０．５＿０．５＿２．０" localSheetId="17">'[1]_11_居宅介護（名前定義）'!$C$330</definedName>
    <definedName name="_11_C通院１０．５＿０．５＿２．０" localSheetId="15">'[1]_11_居宅介護（名前定義）'!$C$330</definedName>
    <definedName name="_11_C通院１０．５＿０．５＿２．０" localSheetId="13">'[1]_11_居宅介護（名前定義）'!$C$330</definedName>
    <definedName name="_11_C通院１０．５＿０．５＿２．０" localSheetId="29">'[1]_11_居宅介護（名前定義）'!$C$330</definedName>
    <definedName name="_11_C通院１０．５＿０．５＿２．０" localSheetId="27">'[1]_11_居宅介護（名前定義）'!$C$330</definedName>
    <definedName name="_11_C通院１０．５＿０．５＿２．０" localSheetId="25">'[1]_11_居宅介護（名前定義）'!$C$330</definedName>
    <definedName name="_11_C通院１０．５＿０．５＿２．０">'_11_居宅介護（名前定義）'!$C$330</definedName>
    <definedName name="_11_C通院１０．５＿１．０＿０．５" localSheetId="17">'[1]_11_居宅介護（名前定義）'!$C$331</definedName>
    <definedName name="_11_C通院１０．５＿１．０＿０．５" localSheetId="15">'[1]_11_居宅介護（名前定義）'!$C$331</definedName>
    <definedName name="_11_C通院１０．５＿１．０＿０．５" localSheetId="13">'[1]_11_居宅介護（名前定義）'!$C$331</definedName>
    <definedName name="_11_C通院１０．５＿１．０＿０．５" localSheetId="29">'[1]_11_居宅介護（名前定義）'!$C$331</definedName>
    <definedName name="_11_C通院１０．５＿１．０＿０．５" localSheetId="27">'[1]_11_居宅介護（名前定義）'!$C$331</definedName>
    <definedName name="_11_C通院１０．５＿１．０＿０．５" localSheetId="25">'[1]_11_居宅介護（名前定義）'!$C$331</definedName>
    <definedName name="_11_C通院１０．５＿１．０＿０．５">'_11_居宅介護（名前定義）'!$C$331</definedName>
    <definedName name="_11_C通院１０．５＿１．０＿１．０" localSheetId="17">'[1]_11_居宅介護（名前定義）'!$C$332</definedName>
    <definedName name="_11_C通院１０．５＿１．０＿１．０" localSheetId="15">'[1]_11_居宅介護（名前定義）'!$C$332</definedName>
    <definedName name="_11_C通院１０．５＿１．０＿１．０" localSheetId="13">'[1]_11_居宅介護（名前定義）'!$C$332</definedName>
    <definedName name="_11_C通院１０．５＿１．０＿１．０" localSheetId="29">'[1]_11_居宅介護（名前定義）'!$C$332</definedName>
    <definedName name="_11_C通院１０．５＿１．０＿１．０" localSheetId="27">'[1]_11_居宅介護（名前定義）'!$C$332</definedName>
    <definedName name="_11_C通院１０．５＿１．０＿１．０" localSheetId="25">'[1]_11_居宅介護（名前定義）'!$C$332</definedName>
    <definedName name="_11_C通院１０．５＿１．０＿１．０">'_11_居宅介護（名前定義）'!$C$332</definedName>
    <definedName name="_11_C通院１０．５＿１．０＿１．５" localSheetId="17">'[1]_11_居宅介護（名前定義）'!$C$333</definedName>
    <definedName name="_11_C通院１０．５＿１．０＿１．５" localSheetId="15">'[1]_11_居宅介護（名前定義）'!$C$333</definedName>
    <definedName name="_11_C通院１０．５＿１．０＿１．５" localSheetId="13">'[1]_11_居宅介護（名前定義）'!$C$333</definedName>
    <definedName name="_11_C通院１０．５＿１．０＿１．５" localSheetId="29">'[1]_11_居宅介護（名前定義）'!$C$333</definedName>
    <definedName name="_11_C通院１０．５＿１．０＿１．５" localSheetId="27">'[1]_11_居宅介護（名前定義）'!$C$333</definedName>
    <definedName name="_11_C通院１０．５＿１．０＿１．５" localSheetId="25">'[1]_11_居宅介護（名前定義）'!$C$333</definedName>
    <definedName name="_11_C通院１０．５＿１．０＿１．５">'_11_居宅介護（名前定義）'!$C$333</definedName>
    <definedName name="_11_C通院１０．５＿１．５＿０．５" localSheetId="17">'[1]_11_居宅介護（名前定義）'!$C$334</definedName>
    <definedName name="_11_C通院１０．５＿１．５＿０．５" localSheetId="15">'[1]_11_居宅介護（名前定義）'!$C$334</definedName>
    <definedName name="_11_C通院１０．５＿１．５＿０．５" localSheetId="13">'[1]_11_居宅介護（名前定義）'!$C$334</definedName>
    <definedName name="_11_C通院１０．５＿１．５＿０．５" localSheetId="29">'[1]_11_居宅介護（名前定義）'!$C$334</definedName>
    <definedName name="_11_C通院１０．５＿１．５＿０．５" localSheetId="27">'[1]_11_居宅介護（名前定義）'!$C$334</definedName>
    <definedName name="_11_C通院１０．５＿１．５＿０．５" localSheetId="25">'[1]_11_居宅介護（名前定義）'!$C$334</definedName>
    <definedName name="_11_C通院１０．５＿１．５＿０．５">'_11_居宅介護（名前定義）'!$C$334</definedName>
    <definedName name="_11_C通院１０．５＿１．５＿１．０" localSheetId="17">'[1]_11_居宅介護（名前定義）'!$C$335</definedName>
    <definedName name="_11_C通院１０．５＿１．５＿１．０" localSheetId="15">'[1]_11_居宅介護（名前定義）'!$C$335</definedName>
    <definedName name="_11_C通院１０．５＿１．５＿１．０" localSheetId="13">'[1]_11_居宅介護（名前定義）'!$C$335</definedName>
    <definedName name="_11_C通院１０．５＿１．５＿１．０" localSheetId="29">'[1]_11_居宅介護（名前定義）'!$C$335</definedName>
    <definedName name="_11_C通院１０．５＿１．５＿１．０" localSheetId="27">'[1]_11_居宅介護（名前定義）'!$C$335</definedName>
    <definedName name="_11_C通院１０．５＿１．５＿１．０" localSheetId="25">'[1]_11_居宅介護（名前定義）'!$C$335</definedName>
    <definedName name="_11_C通院１０．５＿１．５＿１．０">'_11_居宅介護（名前定義）'!$C$335</definedName>
    <definedName name="_11_C通院１０．５＿２．０＿０．５" localSheetId="17">'[1]_11_居宅介護（名前定義）'!$C$336</definedName>
    <definedName name="_11_C通院１０．５＿２．０＿０．５" localSheetId="15">'[1]_11_居宅介護（名前定義）'!$C$336</definedName>
    <definedName name="_11_C通院１０．５＿２．０＿０．５" localSheetId="13">'[1]_11_居宅介護（名前定義）'!$C$336</definedName>
    <definedName name="_11_C通院１０．５＿２．０＿０．５" localSheetId="29">'[1]_11_居宅介護（名前定義）'!$C$336</definedName>
    <definedName name="_11_C通院１０．５＿２．０＿０．５" localSheetId="27">'[1]_11_居宅介護（名前定義）'!$C$336</definedName>
    <definedName name="_11_C通院１０．５＿２．０＿０．５" localSheetId="25">'[1]_11_居宅介護（名前定義）'!$C$336</definedName>
    <definedName name="_11_C通院１０．５＿２．０＿０．５">'_11_居宅介護（名前定義）'!$C$336</definedName>
    <definedName name="_11_C通院１１．０＿０．５＿０．５" localSheetId="17">'[1]_11_居宅介護（名前定義）'!$C$337</definedName>
    <definedName name="_11_C通院１１．０＿０．５＿０．５" localSheetId="15">'[1]_11_居宅介護（名前定義）'!$C$337</definedName>
    <definedName name="_11_C通院１１．０＿０．５＿０．５" localSheetId="13">'[1]_11_居宅介護（名前定義）'!$C$337</definedName>
    <definedName name="_11_C通院１１．０＿０．５＿０．５" localSheetId="29">'[1]_11_居宅介護（名前定義）'!$C$337</definedName>
    <definedName name="_11_C通院１１．０＿０．５＿０．５" localSheetId="27">'[1]_11_居宅介護（名前定義）'!$C$337</definedName>
    <definedName name="_11_C通院１１．０＿０．５＿０．５" localSheetId="25">'[1]_11_居宅介護（名前定義）'!$C$337</definedName>
    <definedName name="_11_C通院１１．０＿０．５＿０．５">'_11_居宅介護（名前定義）'!$C$337</definedName>
    <definedName name="_11_C通院１１．０＿０．５＿１．０" localSheetId="17">'[1]_11_居宅介護（名前定義）'!$C$338</definedName>
    <definedName name="_11_C通院１１．０＿０．５＿１．０" localSheetId="15">'[1]_11_居宅介護（名前定義）'!$C$338</definedName>
    <definedName name="_11_C通院１１．０＿０．５＿１．０" localSheetId="13">'[1]_11_居宅介護（名前定義）'!$C$338</definedName>
    <definedName name="_11_C通院１１．０＿０．５＿１．０" localSheetId="29">'[1]_11_居宅介護（名前定義）'!$C$338</definedName>
    <definedName name="_11_C通院１１．０＿０．５＿１．０" localSheetId="27">'[1]_11_居宅介護（名前定義）'!$C$338</definedName>
    <definedName name="_11_C通院１１．０＿０．５＿１．０" localSheetId="25">'[1]_11_居宅介護（名前定義）'!$C$338</definedName>
    <definedName name="_11_C通院１１．０＿０．５＿１．０">'_11_居宅介護（名前定義）'!$C$338</definedName>
    <definedName name="_11_C通院１１．０＿０．５＿１．５" localSheetId="17">'[1]_11_居宅介護（名前定義）'!$C$339</definedName>
    <definedName name="_11_C通院１１．０＿０．５＿１．５" localSheetId="15">'[1]_11_居宅介護（名前定義）'!$C$339</definedName>
    <definedName name="_11_C通院１１．０＿０．５＿１．５" localSheetId="13">'[1]_11_居宅介護（名前定義）'!$C$339</definedName>
    <definedName name="_11_C通院１１．０＿０．５＿１．５" localSheetId="29">'[1]_11_居宅介護（名前定義）'!$C$339</definedName>
    <definedName name="_11_C通院１１．０＿０．５＿１．５" localSheetId="27">'[1]_11_居宅介護（名前定義）'!$C$339</definedName>
    <definedName name="_11_C通院１１．０＿０．５＿１．５" localSheetId="25">'[1]_11_居宅介護（名前定義）'!$C$339</definedName>
    <definedName name="_11_C通院１１．０＿０．５＿１．５">'_11_居宅介護（名前定義）'!$C$339</definedName>
    <definedName name="_11_C通院１１．０＿１．０＿０．５" localSheetId="17">'[1]_11_居宅介護（名前定義）'!$C$340</definedName>
    <definedName name="_11_C通院１１．０＿１．０＿０．５" localSheetId="15">'[1]_11_居宅介護（名前定義）'!$C$340</definedName>
    <definedName name="_11_C通院１１．０＿１．０＿０．５" localSheetId="13">'[1]_11_居宅介護（名前定義）'!$C$340</definedName>
    <definedName name="_11_C通院１１．０＿１．０＿０．５" localSheetId="29">'[1]_11_居宅介護（名前定義）'!$C$340</definedName>
    <definedName name="_11_C通院１１．０＿１．０＿０．５" localSheetId="27">'[1]_11_居宅介護（名前定義）'!$C$340</definedName>
    <definedName name="_11_C通院１１．０＿１．０＿０．５" localSheetId="25">'[1]_11_居宅介護（名前定義）'!$C$340</definedName>
    <definedName name="_11_C通院１１．０＿１．０＿０．５">'_11_居宅介護（名前定義）'!$C$340</definedName>
    <definedName name="_11_C通院１１．０＿１．０＿１．０" localSheetId="17">'[1]_11_居宅介護（名前定義）'!$C$341</definedName>
    <definedName name="_11_C通院１１．０＿１．０＿１．０" localSheetId="15">'[1]_11_居宅介護（名前定義）'!$C$341</definedName>
    <definedName name="_11_C通院１１．０＿１．０＿１．０" localSheetId="13">'[1]_11_居宅介護（名前定義）'!$C$341</definedName>
    <definedName name="_11_C通院１１．０＿１．０＿１．０" localSheetId="29">'[1]_11_居宅介護（名前定義）'!$C$341</definedName>
    <definedName name="_11_C通院１１．０＿１．０＿１．０" localSheetId="27">'[1]_11_居宅介護（名前定義）'!$C$341</definedName>
    <definedName name="_11_C通院１１．０＿１．０＿１．０" localSheetId="25">'[1]_11_居宅介護（名前定義）'!$C$341</definedName>
    <definedName name="_11_C通院１１．０＿１．０＿１．０">'_11_居宅介護（名前定義）'!$C$341</definedName>
    <definedName name="_11_C通院１１．０＿１．５＿０．５" localSheetId="17">'[1]_11_居宅介護（名前定義）'!$C$342</definedName>
    <definedName name="_11_C通院１１．０＿１．５＿０．５" localSheetId="15">'[1]_11_居宅介護（名前定義）'!$C$342</definedName>
    <definedName name="_11_C通院１１．０＿１．５＿０．５" localSheetId="13">'[1]_11_居宅介護（名前定義）'!$C$342</definedName>
    <definedName name="_11_C通院１１．０＿１．５＿０．５" localSheetId="29">'[1]_11_居宅介護（名前定義）'!$C$342</definedName>
    <definedName name="_11_C通院１１．０＿１．５＿０．５" localSheetId="27">'[1]_11_居宅介護（名前定義）'!$C$342</definedName>
    <definedName name="_11_C通院１１．０＿１．５＿０．５" localSheetId="25">'[1]_11_居宅介護（名前定義）'!$C$342</definedName>
    <definedName name="_11_C通院１１．０＿１．５＿０．５">'_11_居宅介護（名前定義）'!$C$342</definedName>
    <definedName name="_11_C通院１１．５＿０．５＿０．５" localSheetId="17">'[1]_11_居宅介護（名前定義）'!$C$343</definedName>
    <definedName name="_11_C通院１１．５＿０．５＿０．５" localSheetId="15">'[1]_11_居宅介護（名前定義）'!$C$343</definedName>
    <definedName name="_11_C通院１１．５＿０．５＿０．５" localSheetId="13">'[1]_11_居宅介護（名前定義）'!$C$343</definedName>
    <definedName name="_11_C通院１１．５＿０．５＿０．５" localSheetId="29">'[1]_11_居宅介護（名前定義）'!$C$343</definedName>
    <definedName name="_11_C通院１１．５＿０．５＿０．５" localSheetId="27">'[1]_11_居宅介護（名前定義）'!$C$343</definedName>
    <definedName name="_11_C通院１１．５＿０．５＿０．５" localSheetId="25">'[1]_11_居宅介護（名前定義）'!$C$343</definedName>
    <definedName name="_11_C通院１１．５＿０．５＿０．５">'_11_居宅介護（名前定義）'!$C$343</definedName>
    <definedName name="_11_C通院１１．５＿０．５＿１．０" localSheetId="17">'[1]_11_居宅介護（名前定義）'!$C$344</definedName>
    <definedName name="_11_C通院１１．５＿０．５＿１．０" localSheetId="15">'[1]_11_居宅介護（名前定義）'!$C$344</definedName>
    <definedName name="_11_C通院１１．５＿０．５＿１．０" localSheetId="13">'[1]_11_居宅介護（名前定義）'!$C$344</definedName>
    <definedName name="_11_C通院１１．５＿０．５＿１．０" localSheetId="29">'[1]_11_居宅介護（名前定義）'!$C$344</definedName>
    <definedName name="_11_C通院１１．５＿０．５＿１．０" localSheetId="27">'[1]_11_居宅介護（名前定義）'!$C$344</definedName>
    <definedName name="_11_C通院１１．５＿０．５＿１．０" localSheetId="25">'[1]_11_居宅介護（名前定義）'!$C$344</definedName>
    <definedName name="_11_C通院１１．５＿０．５＿１．０">'_11_居宅介護（名前定義）'!$C$344</definedName>
    <definedName name="_11_C通院１１．５＿１．０＿０．５" localSheetId="17">'[1]_11_居宅介護（名前定義）'!$C$345</definedName>
    <definedName name="_11_C通院１１．５＿１．０＿０．５" localSheetId="15">'[1]_11_居宅介護（名前定義）'!$C$345</definedName>
    <definedName name="_11_C通院１１．５＿１．０＿０．５" localSheetId="13">'[1]_11_居宅介護（名前定義）'!$C$345</definedName>
    <definedName name="_11_C通院１１．５＿１．０＿０．５" localSheetId="29">'[1]_11_居宅介護（名前定義）'!$C$345</definedName>
    <definedName name="_11_C通院１１．５＿１．０＿０．５" localSheetId="27">'[1]_11_居宅介護（名前定義）'!$C$345</definedName>
    <definedName name="_11_C通院１１．５＿１．０＿０．５" localSheetId="25">'[1]_11_居宅介護（名前定義）'!$C$345</definedName>
    <definedName name="_11_C通院１１．５＿１．０＿０．５">'_11_居宅介護（名前定義）'!$C$345</definedName>
    <definedName name="_11_C通院１２．０＿０．５＿０．５" localSheetId="17">'[1]_11_居宅介護（名前定義）'!$C$346</definedName>
    <definedName name="_11_C通院１２．０＿０．５＿０．５" localSheetId="15">'[1]_11_居宅介護（名前定義）'!$C$346</definedName>
    <definedName name="_11_C通院１２．０＿０．５＿０．５" localSheetId="13">'[1]_11_居宅介護（名前定義）'!$C$346</definedName>
    <definedName name="_11_C通院１２．０＿０．５＿０．５" localSheetId="29">'[1]_11_居宅介護（名前定義）'!$C$346</definedName>
    <definedName name="_11_C通院１２．０＿０．５＿０．５" localSheetId="27">'[1]_11_居宅介護（名前定義）'!$C$346</definedName>
    <definedName name="_11_C通院１２．０＿０．５＿０．５" localSheetId="25">'[1]_11_居宅介護（名前定義）'!$C$346</definedName>
    <definedName name="_11_C通院１２．０＿０．５＿０．５">'_11_居宅介護（名前定義）'!$C$346</definedName>
    <definedName name="_11_C通院２０．５＿０．５＿０．５" localSheetId="17">'[1]_11_居宅介護（名前定義）'!$C$367</definedName>
    <definedName name="_11_C通院２０．５＿０．５＿０．５" localSheetId="15">'[1]_11_居宅介護（名前定義）'!$C$367</definedName>
    <definedName name="_11_C通院２０．５＿０．５＿０．５" localSheetId="13">'[1]_11_居宅介護（名前定義）'!$C$367</definedName>
    <definedName name="_11_C通院２０．５＿０．５＿０．５" localSheetId="29">'[1]_11_居宅介護（名前定義）'!$C$367</definedName>
    <definedName name="_11_C通院２０．５＿０．５＿０．５" localSheetId="27">'[1]_11_居宅介護（名前定義）'!$C$367</definedName>
    <definedName name="_11_C通院２０．５＿０．５＿０．５" localSheetId="25">'[1]_11_居宅介護（名前定義）'!$C$367</definedName>
    <definedName name="_11_C通院２０．５＿０．５＿０．５">'_11_居宅介護（名前定義）'!$C$367</definedName>
    <definedName name="_11・２人" localSheetId="17">'[1]_11_居宅介護（名前定義）'!$C$368</definedName>
    <definedName name="_11・２人" localSheetId="15">'[1]_11_居宅介護（名前定義）'!$C$368</definedName>
    <definedName name="_11・２人" localSheetId="13">'[1]_11_居宅介護（名前定義）'!$C$368</definedName>
    <definedName name="_11・２人" localSheetId="29">'[1]_11_居宅介護（名前定義）'!$C$368</definedName>
    <definedName name="_11・２人" localSheetId="27">'[1]_11_居宅介護（名前定義）'!$C$368</definedName>
    <definedName name="_11・２人" localSheetId="25">'[1]_11_居宅介護（名前定義）'!$C$368</definedName>
    <definedName name="_11・２人">'_11_居宅介護（名前定義）'!$C$368</definedName>
    <definedName name="_11・A深夜" localSheetId="17">'[1]_11_居宅介護（名前定義）'!$C$369</definedName>
    <definedName name="_11・A深夜" localSheetId="15">'[1]_11_居宅介護（名前定義）'!$C$369</definedName>
    <definedName name="_11・A深夜" localSheetId="13">'[1]_11_居宅介護（名前定義）'!$C$369</definedName>
    <definedName name="_11・A深夜" localSheetId="29">'[1]_11_居宅介護（名前定義）'!$C$369</definedName>
    <definedName name="_11・A深夜" localSheetId="27">'[1]_11_居宅介護（名前定義）'!$C$369</definedName>
    <definedName name="_11・A深夜" localSheetId="25">'[1]_11_居宅介護（名前定義）'!$C$369</definedName>
    <definedName name="_11・A深夜">'_11_居宅介護（名前定義）'!$C$369</definedName>
    <definedName name="_11・A早朝" localSheetId="17">'[1]_11_居宅介護（名前定義）'!$C$370</definedName>
    <definedName name="_11・A早朝" localSheetId="15">'[1]_11_居宅介護（名前定義）'!$C$370</definedName>
    <definedName name="_11・A早朝" localSheetId="13">'[1]_11_居宅介護（名前定義）'!$C$370</definedName>
    <definedName name="_11・A早朝" localSheetId="29">'[1]_11_居宅介護（名前定義）'!$C$370</definedName>
    <definedName name="_11・A早朝" localSheetId="27">'[1]_11_居宅介護（名前定義）'!$C$370</definedName>
    <definedName name="_11・A早朝" localSheetId="25">'[1]_11_居宅介護（名前定義）'!$C$370</definedName>
    <definedName name="_11・A早朝">'_11_居宅介護（名前定義）'!$C$370</definedName>
    <definedName name="_11・A夜間" localSheetId="17">'[1]_11_居宅介護（名前定義）'!$C$371</definedName>
    <definedName name="_11・A夜間" localSheetId="15">'[1]_11_居宅介護（名前定義）'!$C$371</definedName>
    <definedName name="_11・A夜間" localSheetId="13">'[1]_11_居宅介護（名前定義）'!$C$371</definedName>
    <definedName name="_11・A夜間" localSheetId="29">'[1]_11_居宅介護（名前定義）'!$C$371</definedName>
    <definedName name="_11・A夜間" localSheetId="27">'[1]_11_居宅介護（名前定義）'!$C$371</definedName>
    <definedName name="_11・A夜間" localSheetId="25">'[1]_11_居宅介護（名前定義）'!$C$371</definedName>
    <definedName name="_11・A夜間">'_11_居宅介護（名前定義）'!$C$371</definedName>
    <definedName name="_11・B深夜" localSheetId="17">'[1]_11_居宅介護（名前定義）'!$C$372</definedName>
    <definedName name="_11・B深夜" localSheetId="15">'[1]_11_居宅介護（名前定義）'!$C$372</definedName>
    <definedName name="_11・B深夜" localSheetId="13">'[1]_11_居宅介護（名前定義）'!$C$372</definedName>
    <definedName name="_11・B深夜" localSheetId="29">'[1]_11_居宅介護（名前定義）'!$C$372</definedName>
    <definedName name="_11・B深夜" localSheetId="27">'[1]_11_居宅介護（名前定義）'!$C$372</definedName>
    <definedName name="_11・B深夜" localSheetId="25">'[1]_11_居宅介護（名前定義）'!$C$372</definedName>
    <definedName name="_11・B深夜">'_11_居宅介護（名前定義）'!$C$372</definedName>
    <definedName name="_11・B早朝" localSheetId="17">'[1]_11_居宅介護（名前定義）'!$C$373</definedName>
    <definedName name="_11・B早朝" localSheetId="15">'[1]_11_居宅介護（名前定義）'!$C$373</definedName>
    <definedName name="_11・B早朝" localSheetId="13">'[1]_11_居宅介護（名前定義）'!$C$373</definedName>
    <definedName name="_11・B早朝" localSheetId="29">'[1]_11_居宅介護（名前定義）'!$C$373</definedName>
    <definedName name="_11・B早朝" localSheetId="27">'[1]_11_居宅介護（名前定義）'!$C$373</definedName>
    <definedName name="_11・B早朝" localSheetId="25">'[1]_11_居宅介護（名前定義）'!$C$373</definedName>
    <definedName name="_11・B早朝">'_11_居宅介護（名前定義）'!$C$373</definedName>
    <definedName name="_11・B夜間" localSheetId="17">'[1]_11_居宅介護（名前定義）'!$C$374</definedName>
    <definedName name="_11・B夜間" localSheetId="15">'[1]_11_居宅介護（名前定義）'!$C$374</definedName>
    <definedName name="_11・B夜間" localSheetId="13">'[1]_11_居宅介護（名前定義）'!$C$374</definedName>
    <definedName name="_11・B夜間" localSheetId="29">'[1]_11_居宅介護（名前定義）'!$C$374</definedName>
    <definedName name="_11・B夜間" localSheetId="27">'[1]_11_居宅介護（名前定義）'!$C$374</definedName>
    <definedName name="_11・B夜間" localSheetId="25">'[1]_11_居宅介護（名前定義）'!$C$374</definedName>
    <definedName name="_11・B夜間">'_11_居宅介護（名前定義）'!$C$374</definedName>
    <definedName name="_11・C深夜" localSheetId="17">'[1]_11_居宅介護（名前定義）'!$C$375</definedName>
    <definedName name="_11・C深夜" localSheetId="15">'[1]_11_居宅介護（名前定義）'!$C$375</definedName>
    <definedName name="_11・C深夜" localSheetId="13">'[1]_11_居宅介護（名前定義）'!$C$375</definedName>
    <definedName name="_11・C深夜" localSheetId="29">'[1]_11_居宅介護（名前定義）'!$C$375</definedName>
    <definedName name="_11・C深夜" localSheetId="27">'[1]_11_居宅介護（名前定義）'!$C$375</definedName>
    <definedName name="_11・C深夜" localSheetId="25">'[1]_11_居宅介護（名前定義）'!$C$375</definedName>
    <definedName name="_11・C深夜">'_11_居宅介護（名前定義）'!$C$375</definedName>
    <definedName name="_11・C夜間" localSheetId="17">'[1]_11_居宅介護（名前定義）'!$C$376</definedName>
    <definedName name="_11・C夜間" localSheetId="15">'[1]_11_居宅介護（名前定義）'!$C$376</definedName>
    <definedName name="_11・C夜間" localSheetId="13">'[1]_11_居宅介護（名前定義）'!$C$376</definedName>
    <definedName name="_11・C夜間" localSheetId="29">'[1]_11_居宅介護（名前定義）'!$C$376</definedName>
    <definedName name="_11・C夜間" localSheetId="27">'[1]_11_居宅介護（名前定義）'!$C$376</definedName>
    <definedName name="_11・C夜間" localSheetId="25">'[1]_11_居宅介護（名前定義）'!$C$376</definedName>
    <definedName name="_11・C夜間">'_11_居宅介護（名前定義）'!$C$376</definedName>
    <definedName name="_11・基礎１" localSheetId="17">'[1]_11_居宅介護（名前定義）'!$C$377</definedName>
    <definedName name="_11・基礎１" localSheetId="15">'[1]_11_居宅介護（名前定義）'!$C$377</definedName>
    <definedName name="_11・基礎１" localSheetId="13">'[1]_11_居宅介護（名前定義）'!$C$377</definedName>
    <definedName name="_11・基礎１" localSheetId="29">'[1]_11_居宅介護（名前定義）'!$C$377</definedName>
    <definedName name="_11・基礎１" localSheetId="27">'[1]_11_居宅介護（名前定義）'!$C$377</definedName>
    <definedName name="_11・基礎１" localSheetId="25">'[1]_11_居宅介護（名前定義）'!$C$377</definedName>
    <definedName name="_11・基礎１">'_11_居宅介護（名前定義）'!$C$377</definedName>
    <definedName name="_11・基礎２" localSheetId="17">'[1]_11_居宅介護（名前定義）'!$C$378</definedName>
    <definedName name="_11・基礎２" localSheetId="15">'[1]_11_居宅介護（名前定義）'!$C$378</definedName>
    <definedName name="_11・基礎２" localSheetId="13">'[1]_11_居宅介護（名前定義）'!$C$378</definedName>
    <definedName name="_11・基礎２" localSheetId="29">'[1]_11_居宅介護（名前定義）'!$C$378</definedName>
    <definedName name="_11・基礎２" localSheetId="27">'[1]_11_居宅介護（名前定義）'!$C$378</definedName>
    <definedName name="_11・基礎２" localSheetId="25">'[1]_11_居宅介護（名前定義）'!$C$378</definedName>
    <definedName name="_11・基礎２">'_11_居宅介護（名前定義）'!$C$378</definedName>
    <definedName name="_11・虐防措減算">'_11_居宅介護（名前定義）'!$C$383</definedName>
    <definedName name="_11・業継計減算">'_11_居宅介護（名前定義）'!$C$384</definedName>
    <definedName name="_11・重度研修" localSheetId="17">'[1]_11_居宅介護（名前定義）'!$C$379</definedName>
    <definedName name="_11・重度研修" localSheetId="15">'[1]_11_居宅介護（名前定義）'!$C$379</definedName>
    <definedName name="_11・重度研修" localSheetId="13">'[1]_11_居宅介護（名前定義）'!$C$379</definedName>
    <definedName name="_11・重度研修" localSheetId="29">'[1]_11_居宅介護（名前定義）'!$C$379</definedName>
    <definedName name="_11・重度研修" localSheetId="27">'[1]_11_居宅介護（名前定義）'!$C$379</definedName>
    <definedName name="_11・重度研修" localSheetId="25">'[1]_11_居宅介護（名前定義）'!$C$379</definedName>
    <definedName name="_11・重度研修">'_11_居宅介護（名前定義）'!$C$379</definedName>
    <definedName name="_11・初任" localSheetId="17">'[1]_11_居宅介護（名前定義）'!$C$380</definedName>
    <definedName name="_11・初任" localSheetId="15">'[1]_11_居宅介護（名前定義）'!$C$380</definedName>
    <definedName name="_11・初任" localSheetId="13">'[1]_11_居宅介護（名前定義）'!$C$380</definedName>
    <definedName name="_11・初任" localSheetId="29">'[1]_11_居宅介護（名前定義）'!$C$380</definedName>
    <definedName name="_11・初任" localSheetId="27">'[1]_11_居宅介護（名前定義）'!$C$380</definedName>
    <definedName name="_11・初任" localSheetId="25">'[1]_11_居宅介護（名前定義）'!$C$380</definedName>
    <definedName name="_11・初任">'_11_居宅介護（名前定義）'!$C$380</definedName>
    <definedName name="_11・情公減算">'_11_居宅介護（名前定義）'!$C$385</definedName>
    <definedName name="_11・身拘廃減算">'_11_居宅介護（名前定義）'!$C$382</definedName>
    <definedName name="_11・同建１" localSheetId="17">'[1]_11_居宅介護（名前定義）'!#REF!</definedName>
    <definedName name="_11・同建１" localSheetId="15">'[1]_11_居宅介護（名前定義）'!#REF!</definedName>
    <definedName name="_11・同建１" localSheetId="13">'[1]_11_居宅介護（名前定義）'!#REF!</definedName>
    <definedName name="_11・同建１" localSheetId="29">'[1]_11_居宅介護（名前定義）'!#REF!</definedName>
    <definedName name="_11・同建１" localSheetId="27">'[1]_11_居宅介護（名前定義）'!#REF!</definedName>
    <definedName name="_11・同建１" localSheetId="25">'[1]_11_居宅介護（名前定義）'!#REF!</definedName>
    <definedName name="_11・同建１">'_11_居宅介護（名前定義）'!#REF!</definedName>
    <definedName name="_11・同建２" localSheetId="17">'[1]_11_居宅介護（名前定義）'!#REF!</definedName>
    <definedName name="_11・同建２" localSheetId="15">'[1]_11_居宅介護（名前定義）'!#REF!</definedName>
    <definedName name="_11・同建２" localSheetId="13">'[1]_11_居宅介護（名前定義）'!#REF!</definedName>
    <definedName name="_11・同建２" localSheetId="29">'[1]_11_居宅介護（名前定義）'!#REF!</definedName>
    <definedName name="_11・同建２" localSheetId="27">'[1]_11_居宅介護（名前定義）'!#REF!</definedName>
    <definedName name="_11・同建２" localSheetId="25">'[1]_11_居宅介護（名前定義）'!#REF!</definedName>
    <definedName name="_11・同建２">'_11_居宅介護（名前定義）'!#REF!</definedName>
    <definedName name="_15_同援日０．５" localSheetId="17">'[1]_15_同行援護（名前定義）'!$C$4</definedName>
    <definedName name="_15_同援日０．５" localSheetId="15">'[1]_15_同行援護（名前定義）'!$C$4</definedName>
    <definedName name="_15_同援日０．５" localSheetId="13">'[1]_15_同行援護（名前定義）'!$C$4</definedName>
    <definedName name="_15_同援日０．５" localSheetId="29">'[1]_15_同行援護（名前定義）'!$C$4</definedName>
    <definedName name="_15_同援日０．５" localSheetId="27">'[1]_15_同行援護（名前定義）'!$C$4</definedName>
    <definedName name="_15_同援日０．５" localSheetId="25">'[1]_15_同行援護（名前定義）'!$C$4</definedName>
    <definedName name="_15_同援日０．５">'_15_同行援護（名前定義）'!$C$4</definedName>
    <definedName name="_15_同援日０．５＿０．５" localSheetId="17">'[1]_15_同行援護（名前定義）'!$C$46</definedName>
    <definedName name="_15_同援日０．５＿０．５" localSheetId="15">'[1]_15_同行援護（名前定義）'!$C$46</definedName>
    <definedName name="_15_同援日０．５＿０．５" localSheetId="13">'[1]_15_同行援護（名前定義）'!$C$46</definedName>
    <definedName name="_15_同援日０．５＿０．５" localSheetId="29">'[1]_15_同行援護（名前定義）'!$C$46</definedName>
    <definedName name="_15_同援日０．５＿０．５" localSheetId="27">'[1]_15_同行援護（名前定義）'!$C$46</definedName>
    <definedName name="_15_同援日０．５＿０．５" localSheetId="25">'[1]_15_同行援護（名前定義）'!$C$46</definedName>
    <definedName name="_15_同援日０．５＿０．５">'_15_同行援護（名前定義）'!$C$46</definedName>
    <definedName name="_15_同援日０．５＿０．５＿０．５" localSheetId="17">'[1]_15_同行援護（名前定義）'!$C$61</definedName>
    <definedName name="_15_同援日０．５＿０．５＿０．５" localSheetId="15">'[1]_15_同行援護（名前定義）'!$C$61</definedName>
    <definedName name="_15_同援日０．５＿０．５＿０．５" localSheetId="13">'[1]_15_同行援護（名前定義）'!$C$61</definedName>
    <definedName name="_15_同援日０．５＿０．５＿０．５" localSheetId="29">'[1]_15_同行援護（名前定義）'!$C$61</definedName>
    <definedName name="_15_同援日０．５＿０．５＿０．５" localSheetId="27">'[1]_15_同行援護（名前定義）'!$C$61</definedName>
    <definedName name="_15_同援日０．５＿０．５＿０．５" localSheetId="25">'[1]_15_同行援護（名前定義）'!$C$61</definedName>
    <definedName name="_15_同援日０．５＿０．５＿０．５">'_15_同行援護（名前定義）'!$C$61</definedName>
    <definedName name="_15_同援日０．５＿０．５＿１．０" localSheetId="17">'[1]_15_同行援護（名前定義）'!$C$62</definedName>
    <definedName name="_15_同援日０．５＿０．５＿１．０" localSheetId="15">'[1]_15_同行援護（名前定義）'!$C$62</definedName>
    <definedName name="_15_同援日０．５＿０．５＿１．０" localSheetId="13">'[1]_15_同行援護（名前定義）'!$C$62</definedName>
    <definedName name="_15_同援日０．５＿０．５＿１．０" localSheetId="29">'[1]_15_同行援護（名前定義）'!$C$62</definedName>
    <definedName name="_15_同援日０．５＿０．５＿１．０" localSheetId="27">'[1]_15_同行援護（名前定義）'!$C$62</definedName>
    <definedName name="_15_同援日０．５＿０．５＿１．０" localSheetId="25">'[1]_15_同行援護（名前定義）'!$C$62</definedName>
    <definedName name="_15_同援日０．５＿０．５＿１．０">'_15_同行援護（名前定義）'!$C$62</definedName>
    <definedName name="_15_同援日０．５＿０．５＿１．５" localSheetId="17">'[1]_15_同行援護（名前定義）'!$C$63</definedName>
    <definedName name="_15_同援日０．５＿０．５＿１．５" localSheetId="15">'[1]_15_同行援護（名前定義）'!$C$63</definedName>
    <definedName name="_15_同援日０．５＿０．５＿１．５" localSheetId="13">'[1]_15_同行援護（名前定義）'!$C$63</definedName>
    <definedName name="_15_同援日０．５＿０．５＿１．５" localSheetId="29">'[1]_15_同行援護（名前定義）'!$C$63</definedName>
    <definedName name="_15_同援日０．５＿０．５＿１．５" localSheetId="27">'[1]_15_同行援護（名前定義）'!$C$63</definedName>
    <definedName name="_15_同援日０．５＿０．５＿１．５" localSheetId="25">'[1]_15_同行援護（名前定義）'!$C$63</definedName>
    <definedName name="_15_同援日０．５＿０．５＿１．５">'_15_同行援護（名前定義）'!$C$63</definedName>
    <definedName name="_15_同援日０．５＿０．５＿２．０" localSheetId="17">'[1]_15_同行援護（名前定義）'!$C$64</definedName>
    <definedName name="_15_同援日０．５＿０．５＿２．０" localSheetId="15">'[1]_15_同行援護（名前定義）'!$C$64</definedName>
    <definedName name="_15_同援日０．５＿０．５＿２．０" localSheetId="13">'[1]_15_同行援護（名前定義）'!$C$64</definedName>
    <definedName name="_15_同援日０．５＿０．５＿２．０" localSheetId="29">'[1]_15_同行援護（名前定義）'!$C$64</definedName>
    <definedName name="_15_同援日０．５＿０．５＿２．０" localSheetId="27">'[1]_15_同行援護（名前定義）'!$C$64</definedName>
    <definedName name="_15_同援日０．５＿０．５＿２．０" localSheetId="25">'[1]_15_同行援護（名前定義）'!$C$64</definedName>
    <definedName name="_15_同援日０．５＿０．５＿２．０">'_15_同行援護（名前定義）'!$C$64</definedName>
    <definedName name="_15_同援日０．５＿１．０" localSheetId="17">'[1]_15_同行援護（名前定義）'!$C$47</definedName>
    <definedName name="_15_同援日０．５＿１．０" localSheetId="15">'[1]_15_同行援護（名前定義）'!$C$47</definedName>
    <definedName name="_15_同援日０．５＿１．０" localSheetId="13">'[1]_15_同行援護（名前定義）'!$C$47</definedName>
    <definedName name="_15_同援日０．５＿１．０" localSheetId="29">'[1]_15_同行援護（名前定義）'!$C$47</definedName>
    <definedName name="_15_同援日０．５＿１．０" localSheetId="27">'[1]_15_同行援護（名前定義）'!$C$47</definedName>
    <definedName name="_15_同援日０．５＿１．０" localSheetId="25">'[1]_15_同行援護（名前定義）'!$C$47</definedName>
    <definedName name="_15_同援日０．５＿１．０">'_15_同行援護（名前定義）'!$C$47</definedName>
    <definedName name="_15_同援日０．５＿１．０＿０．５" localSheetId="17">'[1]_15_同行援護（名前定義）'!$C$65</definedName>
    <definedName name="_15_同援日０．５＿１．０＿０．５" localSheetId="15">'[1]_15_同行援護（名前定義）'!$C$65</definedName>
    <definedName name="_15_同援日０．５＿１．０＿０．５" localSheetId="13">'[1]_15_同行援護（名前定義）'!$C$65</definedName>
    <definedName name="_15_同援日０．５＿１．０＿０．５" localSheetId="29">'[1]_15_同行援護（名前定義）'!$C$65</definedName>
    <definedName name="_15_同援日０．５＿１．０＿０．５" localSheetId="27">'[1]_15_同行援護（名前定義）'!$C$65</definedName>
    <definedName name="_15_同援日０．５＿１．０＿０．５" localSheetId="25">'[1]_15_同行援護（名前定義）'!$C$65</definedName>
    <definedName name="_15_同援日０．５＿１．０＿０．５">'_15_同行援護（名前定義）'!$C$65</definedName>
    <definedName name="_15_同援日０．５＿１．０＿１．０" localSheetId="17">'[1]_15_同行援護（名前定義）'!$C$66</definedName>
    <definedName name="_15_同援日０．５＿１．０＿１．０" localSheetId="15">'[1]_15_同行援護（名前定義）'!$C$66</definedName>
    <definedName name="_15_同援日０．５＿１．０＿１．０" localSheetId="13">'[1]_15_同行援護（名前定義）'!$C$66</definedName>
    <definedName name="_15_同援日０．５＿１．０＿１．０" localSheetId="29">'[1]_15_同行援護（名前定義）'!$C$66</definedName>
    <definedName name="_15_同援日０．５＿１．０＿１．０" localSheetId="27">'[1]_15_同行援護（名前定義）'!$C$66</definedName>
    <definedName name="_15_同援日０．５＿１．０＿１．０" localSheetId="25">'[1]_15_同行援護（名前定義）'!$C$66</definedName>
    <definedName name="_15_同援日０．５＿１．０＿１．０">'_15_同行援護（名前定義）'!$C$66</definedName>
    <definedName name="_15_同援日０．５＿１．０＿１．５" localSheetId="17">'[1]_15_同行援護（名前定義）'!$C$67</definedName>
    <definedName name="_15_同援日０．５＿１．０＿１．５" localSheetId="15">'[1]_15_同行援護（名前定義）'!$C$67</definedName>
    <definedName name="_15_同援日０．５＿１．０＿１．５" localSheetId="13">'[1]_15_同行援護（名前定義）'!$C$67</definedName>
    <definedName name="_15_同援日０．５＿１．０＿１．５" localSheetId="29">'[1]_15_同行援護（名前定義）'!$C$67</definedName>
    <definedName name="_15_同援日０．５＿１．０＿１．５" localSheetId="27">'[1]_15_同行援護（名前定義）'!$C$67</definedName>
    <definedName name="_15_同援日０．５＿１．０＿１．５" localSheetId="25">'[1]_15_同行援護（名前定義）'!$C$67</definedName>
    <definedName name="_15_同援日０．５＿１．０＿１．５">'_15_同行援護（名前定義）'!$C$67</definedName>
    <definedName name="_15_同援日０．５＿１．５" localSheetId="17">'[1]_15_同行援護（名前定義）'!$C$48</definedName>
    <definedName name="_15_同援日０．５＿１．５" localSheetId="15">'[1]_15_同行援護（名前定義）'!$C$48</definedName>
    <definedName name="_15_同援日０．５＿１．５" localSheetId="13">'[1]_15_同行援護（名前定義）'!$C$48</definedName>
    <definedName name="_15_同援日０．５＿１．５" localSheetId="29">'[1]_15_同行援護（名前定義）'!$C$48</definedName>
    <definedName name="_15_同援日０．５＿１．５" localSheetId="27">'[1]_15_同行援護（名前定義）'!$C$48</definedName>
    <definedName name="_15_同援日０．５＿１．５" localSheetId="25">'[1]_15_同行援護（名前定義）'!$C$48</definedName>
    <definedName name="_15_同援日０．５＿１．５">'_15_同行援護（名前定義）'!$C$48</definedName>
    <definedName name="_15_同援日０．５＿１．５＿０．５" localSheetId="17">'[1]_15_同行援護（名前定義）'!$C$68</definedName>
    <definedName name="_15_同援日０．５＿１．５＿０．５" localSheetId="15">'[1]_15_同行援護（名前定義）'!$C$68</definedName>
    <definedName name="_15_同援日０．５＿１．５＿０．５" localSheetId="13">'[1]_15_同行援護（名前定義）'!$C$68</definedName>
    <definedName name="_15_同援日０．５＿１．５＿０．５" localSheetId="29">'[1]_15_同行援護（名前定義）'!$C$68</definedName>
    <definedName name="_15_同援日０．５＿１．５＿０．５" localSheetId="27">'[1]_15_同行援護（名前定義）'!$C$68</definedName>
    <definedName name="_15_同援日０．５＿１．５＿０．５" localSheetId="25">'[1]_15_同行援護（名前定義）'!$C$68</definedName>
    <definedName name="_15_同援日０．５＿１．５＿０．５">'_15_同行援護（名前定義）'!$C$68</definedName>
    <definedName name="_15_同援日０．５＿１．５＿１．０" localSheetId="17">'[1]_15_同行援護（名前定義）'!$C$69</definedName>
    <definedName name="_15_同援日０．５＿１．５＿１．０" localSheetId="15">'[1]_15_同行援護（名前定義）'!$C$69</definedName>
    <definedName name="_15_同援日０．５＿１．５＿１．０" localSheetId="13">'[1]_15_同行援護（名前定義）'!$C$69</definedName>
    <definedName name="_15_同援日０．５＿１．５＿１．０" localSheetId="29">'[1]_15_同行援護（名前定義）'!$C$69</definedName>
    <definedName name="_15_同援日０．５＿１．５＿１．０" localSheetId="27">'[1]_15_同行援護（名前定義）'!$C$69</definedName>
    <definedName name="_15_同援日０．５＿１．５＿１．０" localSheetId="25">'[1]_15_同行援護（名前定義）'!$C$69</definedName>
    <definedName name="_15_同援日０．５＿１．５＿１．０">'_15_同行援護（名前定義）'!$C$69</definedName>
    <definedName name="_15_同援日０．５＿２．０" localSheetId="17">'[1]_15_同行援護（名前定義）'!$C$49</definedName>
    <definedName name="_15_同援日０．５＿２．０" localSheetId="15">'[1]_15_同行援護（名前定義）'!$C$49</definedName>
    <definedName name="_15_同援日０．５＿２．０" localSheetId="13">'[1]_15_同行援護（名前定義）'!$C$49</definedName>
    <definedName name="_15_同援日０．５＿２．０" localSheetId="29">'[1]_15_同行援護（名前定義）'!$C$49</definedName>
    <definedName name="_15_同援日０．５＿２．０" localSheetId="27">'[1]_15_同行援護（名前定義）'!$C$49</definedName>
    <definedName name="_15_同援日０．５＿２．０" localSheetId="25">'[1]_15_同行援護（名前定義）'!$C$49</definedName>
    <definedName name="_15_同援日０．５＿２．０">'_15_同行援護（名前定義）'!$C$49</definedName>
    <definedName name="_15_同援日０．５＿２．０＿０．５" localSheetId="17">'[1]_15_同行援護（名前定義）'!$C$70</definedName>
    <definedName name="_15_同援日０．５＿２．０＿０．５" localSheetId="15">'[1]_15_同行援護（名前定義）'!$C$70</definedName>
    <definedName name="_15_同援日０．５＿２．０＿０．５" localSheetId="13">'[1]_15_同行援護（名前定義）'!$C$70</definedName>
    <definedName name="_15_同援日０．５＿２．０＿０．５" localSheetId="29">'[1]_15_同行援護（名前定義）'!$C$70</definedName>
    <definedName name="_15_同援日０．５＿２．０＿０．５" localSheetId="27">'[1]_15_同行援護（名前定義）'!$C$70</definedName>
    <definedName name="_15_同援日０．５＿２．０＿０．５" localSheetId="25">'[1]_15_同行援護（名前定義）'!$C$70</definedName>
    <definedName name="_15_同援日０．５＿２．０＿０．５">'_15_同行援護（名前定義）'!$C$70</definedName>
    <definedName name="_15_同援日０．５＿２．５" localSheetId="17">'[1]_15_同行援護（名前定義）'!$C$50</definedName>
    <definedName name="_15_同援日０．５＿２．５" localSheetId="15">'[1]_15_同行援護（名前定義）'!$C$50</definedName>
    <definedName name="_15_同援日０．５＿２．５" localSheetId="13">'[1]_15_同行援護（名前定義）'!$C$50</definedName>
    <definedName name="_15_同援日０．５＿２．５" localSheetId="29">'[1]_15_同行援護（名前定義）'!$C$50</definedName>
    <definedName name="_15_同援日０．５＿２．５" localSheetId="27">'[1]_15_同行援護（名前定義）'!$C$50</definedName>
    <definedName name="_15_同援日０．５＿２．５" localSheetId="25">'[1]_15_同行援護（名前定義）'!$C$50</definedName>
    <definedName name="_15_同援日０．５＿２．５">'_15_同行援護（名前定義）'!$C$50</definedName>
    <definedName name="_15_同援日１．０" localSheetId="17">'[1]_15_同行援護（名前定義）'!$C$5</definedName>
    <definedName name="_15_同援日１．０" localSheetId="15">'[1]_15_同行援護（名前定義）'!$C$5</definedName>
    <definedName name="_15_同援日１．０" localSheetId="13">'[1]_15_同行援護（名前定義）'!$C$5</definedName>
    <definedName name="_15_同援日１．０" localSheetId="29">'[1]_15_同行援護（名前定義）'!$C$5</definedName>
    <definedName name="_15_同援日１．０" localSheetId="27">'[1]_15_同行援護（名前定義）'!$C$5</definedName>
    <definedName name="_15_同援日１．０" localSheetId="25">'[1]_15_同行援護（名前定義）'!$C$5</definedName>
    <definedName name="_15_同援日１．０">'_15_同行援護（名前定義）'!$C$5</definedName>
    <definedName name="_15_同援日１．０＿０．５" localSheetId="17">'[1]_15_同行援護（名前定義）'!$C$51</definedName>
    <definedName name="_15_同援日１．０＿０．５" localSheetId="15">'[1]_15_同行援護（名前定義）'!$C$51</definedName>
    <definedName name="_15_同援日１．０＿０．５" localSheetId="13">'[1]_15_同行援護（名前定義）'!$C$51</definedName>
    <definedName name="_15_同援日１．０＿０．５" localSheetId="29">'[1]_15_同行援護（名前定義）'!$C$51</definedName>
    <definedName name="_15_同援日１．０＿０．５" localSheetId="27">'[1]_15_同行援護（名前定義）'!$C$51</definedName>
    <definedName name="_15_同援日１．０＿０．５" localSheetId="25">'[1]_15_同行援護（名前定義）'!$C$51</definedName>
    <definedName name="_15_同援日１．０＿０．５">'_15_同行援護（名前定義）'!$C$51</definedName>
    <definedName name="_15_同援日１．０＿０．５＿０．５" localSheetId="17">'[1]_15_同行援護（名前定義）'!$C$71</definedName>
    <definedName name="_15_同援日１．０＿０．５＿０．５" localSheetId="15">'[1]_15_同行援護（名前定義）'!$C$71</definedName>
    <definedName name="_15_同援日１．０＿０．５＿０．５" localSheetId="13">'[1]_15_同行援護（名前定義）'!$C$71</definedName>
    <definedName name="_15_同援日１．０＿０．５＿０．５" localSheetId="29">'[1]_15_同行援護（名前定義）'!$C$71</definedName>
    <definedName name="_15_同援日１．０＿０．５＿０．５" localSheetId="27">'[1]_15_同行援護（名前定義）'!$C$71</definedName>
    <definedName name="_15_同援日１．０＿０．５＿０．５" localSheetId="25">'[1]_15_同行援護（名前定義）'!$C$71</definedName>
    <definedName name="_15_同援日１．０＿０．５＿０．５">'_15_同行援護（名前定義）'!$C$71</definedName>
    <definedName name="_15_同援日１．０＿０．５＿１．０" localSheetId="17">'[1]_15_同行援護（名前定義）'!$C$72</definedName>
    <definedName name="_15_同援日１．０＿０．５＿１．０" localSheetId="15">'[1]_15_同行援護（名前定義）'!$C$72</definedName>
    <definedName name="_15_同援日１．０＿０．５＿１．０" localSheetId="13">'[1]_15_同行援護（名前定義）'!$C$72</definedName>
    <definedName name="_15_同援日１．０＿０．５＿１．０" localSheetId="29">'[1]_15_同行援護（名前定義）'!$C$72</definedName>
    <definedName name="_15_同援日１．０＿０．５＿１．０" localSheetId="27">'[1]_15_同行援護（名前定義）'!$C$72</definedName>
    <definedName name="_15_同援日１．０＿０．５＿１．０" localSheetId="25">'[1]_15_同行援護（名前定義）'!$C$72</definedName>
    <definedName name="_15_同援日１．０＿０．５＿１．０">'_15_同行援護（名前定義）'!$C$72</definedName>
    <definedName name="_15_同援日１．０＿０．５＿１．５" localSheetId="17">'[1]_15_同行援護（名前定義）'!$C$73</definedName>
    <definedName name="_15_同援日１．０＿０．５＿１．５" localSheetId="15">'[1]_15_同行援護（名前定義）'!$C$73</definedName>
    <definedName name="_15_同援日１．０＿０．５＿１．５" localSheetId="13">'[1]_15_同行援護（名前定義）'!$C$73</definedName>
    <definedName name="_15_同援日１．０＿０．５＿１．５" localSheetId="29">'[1]_15_同行援護（名前定義）'!$C$73</definedName>
    <definedName name="_15_同援日１．０＿０．５＿１．５" localSheetId="27">'[1]_15_同行援護（名前定義）'!$C$73</definedName>
    <definedName name="_15_同援日１．０＿０．５＿１．５" localSheetId="25">'[1]_15_同行援護（名前定義）'!$C$73</definedName>
    <definedName name="_15_同援日１．０＿０．５＿１．５">'_15_同行援護（名前定義）'!$C$73</definedName>
    <definedName name="_15_同援日１．０＿１．０" localSheetId="17">'[1]_15_同行援護（名前定義）'!$C$52</definedName>
    <definedName name="_15_同援日１．０＿１．０" localSheetId="15">'[1]_15_同行援護（名前定義）'!$C$52</definedName>
    <definedName name="_15_同援日１．０＿１．０" localSheetId="13">'[1]_15_同行援護（名前定義）'!$C$52</definedName>
    <definedName name="_15_同援日１．０＿１．０" localSheetId="29">'[1]_15_同行援護（名前定義）'!$C$52</definedName>
    <definedName name="_15_同援日１．０＿１．０" localSheetId="27">'[1]_15_同行援護（名前定義）'!$C$52</definedName>
    <definedName name="_15_同援日１．０＿１．０" localSheetId="25">'[1]_15_同行援護（名前定義）'!$C$52</definedName>
    <definedName name="_15_同援日１．０＿１．０">'_15_同行援護（名前定義）'!$C$52</definedName>
    <definedName name="_15_同援日１．０＿１．０＿０．５" localSheetId="17">'[1]_15_同行援護（名前定義）'!$C$74</definedName>
    <definedName name="_15_同援日１．０＿１．０＿０．５" localSheetId="15">'[1]_15_同行援護（名前定義）'!$C$74</definedName>
    <definedName name="_15_同援日１．０＿１．０＿０．５" localSheetId="13">'[1]_15_同行援護（名前定義）'!$C$74</definedName>
    <definedName name="_15_同援日１．０＿１．０＿０．５" localSheetId="29">'[1]_15_同行援護（名前定義）'!$C$74</definedName>
    <definedName name="_15_同援日１．０＿１．０＿０．５" localSheetId="27">'[1]_15_同行援護（名前定義）'!$C$74</definedName>
    <definedName name="_15_同援日１．０＿１．０＿０．５" localSheetId="25">'[1]_15_同行援護（名前定義）'!$C$74</definedName>
    <definedName name="_15_同援日１．０＿１．０＿０．５">'_15_同行援護（名前定義）'!$C$74</definedName>
    <definedName name="_15_同援日１．０＿１．０＿１．０" localSheetId="17">'[1]_15_同行援護（名前定義）'!$C$75</definedName>
    <definedName name="_15_同援日１．０＿１．０＿１．０" localSheetId="15">'[1]_15_同行援護（名前定義）'!$C$75</definedName>
    <definedName name="_15_同援日１．０＿１．０＿１．０" localSheetId="13">'[1]_15_同行援護（名前定義）'!$C$75</definedName>
    <definedName name="_15_同援日１．０＿１．０＿１．０" localSheetId="29">'[1]_15_同行援護（名前定義）'!$C$75</definedName>
    <definedName name="_15_同援日１．０＿１．０＿１．０" localSheetId="27">'[1]_15_同行援護（名前定義）'!$C$75</definedName>
    <definedName name="_15_同援日１．０＿１．０＿１．０" localSheetId="25">'[1]_15_同行援護（名前定義）'!$C$75</definedName>
    <definedName name="_15_同援日１．０＿１．０＿１．０">'_15_同行援護（名前定義）'!$C$75</definedName>
    <definedName name="_15_同援日１．０＿１．５" localSheetId="17">'[1]_15_同行援護（名前定義）'!$C$53</definedName>
    <definedName name="_15_同援日１．０＿１．５" localSheetId="15">'[1]_15_同行援護（名前定義）'!$C$53</definedName>
    <definedName name="_15_同援日１．０＿１．５" localSheetId="13">'[1]_15_同行援護（名前定義）'!$C$53</definedName>
    <definedName name="_15_同援日１．０＿１．５" localSheetId="29">'[1]_15_同行援護（名前定義）'!$C$53</definedName>
    <definedName name="_15_同援日１．０＿１．５" localSheetId="27">'[1]_15_同行援護（名前定義）'!$C$53</definedName>
    <definedName name="_15_同援日１．０＿１．５" localSheetId="25">'[1]_15_同行援護（名前定義）'!$C$53</definedName>
    <definedName name="_15_同援日１．０＿１．５">'_15_同行援護（名前定義）'!$C$53</definedName>
    <definedName name="_15_同援日１．０＿１．５＿０．５" localSheetId="17">'[1]_15_同行援護（名前定義）'!$C$76</definedName>
    <definedName name="_15_同援日１．０＿１．５＿０．５" localSheetId="15">'[1]_15_同行援護（名前定義）'!$C$76</definedName>
    <definedName name="_15_同援日１．０＿１．５＿０．５" localSheetId="13">'[1]_15_同行援護（名前定義）'!$C$76</definedName>
    <definedName name="_15_同援日１．０＿１．５＿０．５" localSheetId="29">'[1]_15_同行援護（名前定義）'!$C$76</definedName>
    <definedName name="_15_同援日１．０＿１．５＿０．５" localSheetId="27">'[1]_15_同行援護（名前定義）'!$C$76</definedName>
    <definedName name="_15_同援日１．０＿１．５＿０．５" localSheetId="25">'[1]_15_同行援護（名前定義）'!$C$76</definedName>
    <definedName name="_15_同援日１．０＿１．５＿０．５">'_15_同行援護（名前定義）'!$C$76</definedName>
    <definedName name="_15_同援日１．０＿２．０" localSheetId="17">'[1]_15_同行援護（名前定義）'!$C$54</definedName>
    <definedName name="_15_同援日１．０＿２．０" localSheetId="15">'[1]_15_同行援護（名前定義）'!$C$54</definedName>
    <definedName name="_15_同援日１．０＿２．０" localSheetId="13">'[1]_15_同行援護（名前定義）'!$C$54</definedName>
    <definedName name="_15_同援日１．０＿２．０" localSheetId="29">'[1]_15_同行援護（名前定義）'!$C$54</definedName>
    <definedName name="_15_同援日１．０＿２．０" localSheetId="27">'[1]_15_同行援護（名前定義）'!$C$54</definedName>
    <definedName name="_15_同援日１．０＿２．０" localSheetId="25">'[1]_15_同行援護（名前定義）'!$C$54</definedName>
    <definedName name="_15_同援日１．０＿２．０">'_15_同行援護（名前定義）'!$C$54</definedName>
    <definedName name="_15_同援日１．５" localSheetId="17">'[1]_15_同行援護（名前定義）'!$C$6</definedName>
    <definedName name="_15_同援日１．５" localSheetId="15">'[1]_15_同行援護（名前定義）'!$C$6</definedName>
    <definedName name="_15_同援日１．５" localSheetId="13">'[1]_15_同行援護（名前定義）'!$C$6</definedName>
    <definedName name="_15_同援日１．５" localSheetId="29">'[1]_15_同行援護（名前定義）'!$C$6</definedName>
    <definedName name="_15_同援日１．５" localSheetId="27">'[1]_15_同行援護（名前定義）'!$C$6</definedName>
    <definedName name="_15_同援日１．５" localSheetId="25">'[1]_15_同行援護（名前定義）'!$C$6</definedName>
    <definedName name="_15_同援日１．５">'_15_同行援護（名前定義）'!$C$6</definedName>
    <definedName name="_15_同援日１．５＿０．５" localSheetId="17">'[1]_15_同行援護（名前定義）'!$C$55</definedName>
    <definedName name="_15_同援日１．５＿０．５" localSheetId="15">'[1]_15_同行援護（名前定義）'!$C$55</definedName>
    <definedName name="_15_同援日１．５＿０．５" localSheetId="13">'[1]_15_同行援護（名前定義）'!$C$55</definedName>
    <definedName name="_15_同援日１．５＿０．５" localSheetId="29">'[1]_15_同行援護（名前定義）'!$C$55</definedName>
    <definedName name="_15_同援日１．５＿０．５" localSheetId="27">'[1]_15_同行援護（名前定義）'!$C$55</definedName>
    <definedName name="_15_同援日１．５＿０．５" localSheetId="25">'[1]_15_同行援護（名前定義）'!$C$55</definedName>
    <definedName name="_15_同援日１．５＿０．５">'_15_同行援護（名前定義）'!$C$55</definedName>
    <definedName name="_15_同援日１．５＿０．５＿０．５" localSheetId="17">'[1]_15_同行援護（名前定義）'!$C$77</definedName>
    <definedName name="_15_同援日１．５＿０．５＿０．５" localSheetId="15">'[1]_15_同行援護（名前定義）'!$C$77</definedName>
    <definedName name="_15_同援日１．５＿０．５＿０．５" localSheetId="13">'[1]_15_同行援護（名前定義）'!$C$77</definedName>
    <definedName name="_15_同援日１．５＿０．５＿０．５" localSheetId="29">'[1]_15_同行援護（名前定義）'!$C$77</definedName>
    <definedName name="_15_同援日１．５＿０．５＿０．５" localSheetId="27">'[1]_15_同行援護（名前定義）'!$C$77</definedName>
    <definedName name="_15_同援日１．５＿０．５＿０．５" localSheetId="25">'[1]_15_同行援護（名前定義）'!$C$77</definedName>
    <definedName name="_15_同援日１．５＿０．５＿０．５">'_15_同行援護（名前定義）'!$C$77</definedName>
    <definedName name="_15_同援日１．５＿０．５＿１．０" localSheetId="17">'[1]_15_同行援護（名前定義）'!$C$78</definedName>
    <definedName name="_15_同援日１．５＿０．５＿１．０" localSheetId="15">'[1]_15_同行援護（名前定義）'!$C$78</definedName>
    <definedName name="_15_同援日１．５＿０．５＿１．０" localSheetId="13">'[1]_15_同行援護（名前定義）'!$C$78</definedName>
    <definedName name="_15_同援日１．５＿０．５＿１．０" localSheetId="29">'[1]_15_同行援護（名前定義）'!$C$78</definedName>
    <definedName name="_15_同援日１．５＿０．５＿１．０" localSheetId="27">'[1]_15_同行援護（名前定義）'!$C$78</definedName>
    <definedName name="_15_同援日１．５＿０．５＿１．０" localSheetId="25">'[1]_15_同行援護（名前定義）'!$C$78</definedName>
    <definedName name="_15_同援日１．５＿０．５＿１．０">'_15_同行援護（名前定義）'!$C$78</definedName>
    <definedName name="_15_同援日１．５＿１．０" localSheetId="17">'[1]_15_同行援護（名前定義）'!$C$56</definedName>
    <definedName name="_15_同援日１．５＿１．０" localSheetId="15">'[1]_15_同行援護（名前定義）'!$C$56</definedName>
    <definedName name="_15_同援日１．５＿１．０" localSheetId="13">'[1]_15_同行援護（名前定義）'!$C$56</definedName>
    <definedName name="_15_同援日１．５＿１．０" localSheetId="29">'[1]_15_同行援護（名前定義）'!$C$56</definedName>
    <definedName name="_15_同援日１．５＿１．０" localSheetId="27">'[1]_15_同行援護（名前定義）'!$C$56</definedName>
    <definedName name="_15_同援日１．５＿１．０" localSheetId="25">'[1]_15_同行援護（名前定義）'!$C$56</definedName>
    <definedName name="_15_同援日１．５＿１．０">'_15_同行援護（名前定義）'!$C$56</definedName>
    <definedName name="_15_同援日１．５＿１．０＿０．５" localSheetId="17">'[1]_15_同行援護（名前定義）'!$C$79</definedName>
    <definedName name="_15_同援日１．５＿１．０＿０．５" localSheetId="15">'[1]_15_同行援護（名前定義）'!$C$79</definedName>
    <definedName name="_15_同援日１．５＿１．０＿０．５" localSheetId="13">'[1]_15_同行援護（名前定義）'!$C$79</definedName>
    <definedName name="_15_同援日１．５＿１．０＿０．５" localSheetId="29">'[1]_15_同行援護（名前定義）'!$C$79</definedName>
    <definedName name="_15_同援日１．５＿１．０＿０．５" localSheetId="27">'[1]_15_同行援護（名前定義）'!$C$79</definedName>
    <definedName name="_15_同援日１．５＿１．０＿０．５" localSheetId="25">'[1]_15_同行援護（名前定義）'!$C$79</definedName>
    <definedName name="_15_同援日１．５＿１．０＿０．５">'_15_同行援護（名前定義）'!$C$79</definedName>
    <definedName name="_15_同援日１．５＿１．５" localSheetId="17">'[1]_15_同行援護（名前定義）'!$C$57</definedName>
    <definedName name="_15_同援日１．５＿１．５" localSheetId="15">'[1]_15_同行援護（名前定義）'!$C$57</definedName>
    <definedName name="_15_同援日１．５＿１．５" localSheetId="13">'[1]_15_同行援護（名前定義）'!$C$57</definedName>
    <definedName name="_15_同援日１．５＿１．５" localSheetId="29">'[1]_15_同行援護（名前定義）'!$C$57</definedName>
    <definedName name="_15_同援日１．５＿１．５" localSheetId="27">'[1]_15_同行援護（名前定義）'!$C$57</definedName>
    <definedName name="_15_同援日１．５＿１．５" localSheetId="25">'[1]_15_同行援護（名前定義）'!$C$57</definedName>
    <definedName name="_15_同援日１．５＿１．５">'_15_同行援護（名前定義）'!$C$57</definedName>
    <definedName name="_15_同援日１０．０" localSheetId="17">'[1]_15_同行援護（名前定義）'!$C$23</definedName>
    <definedName name="_15_同援日１０．０" localSheetId="15">'[1]_15_同行援護（名前定義）'!$C$23</definedName>
    <definedName name="_15_同援日１０．０" localSheetId="13">'[1]_15_同行援護（名前定義）'!$C$23</definedName>
    <definedName name="_15_同援日１０．０" localSheetId="29">'[1]_15_同行援護（名前定義）'!$C$23</definedName>
    <definedName name="_15_同援日１０．０" localSheetId="27">'[1]_15_同行援護（名前定義）'!$C$23</definedName>
    <definedName name="_15_同援日１０．０" localSheetId="25">'[1]_15_同行援護（名前定義）'!$C$23</definedName>
    <definedName name="_15_同援日１０．０">'_15_同行援護（名前定義）'!$C$23</definedName>
    <definedName name="_15_同援日１０．５" localSheetId="17">'[1]_15_同行援護（名前定義）'!$C$24</definedName>
    <definedName name="_15_同援日１０．５" localSheetId="15">'[1]_15_同行援護（名前定義）'!$C$24</definedName>
    <definedName name="_15_同援日１０．５" localSheetId="13">'[1]_15_同行援護（名前定義）'!$C$24</definedName>
    <definedName name="_15_同援日１０．５" localSheetId="29">'[1]_15_同行援護（名前定義）'!$C$24</definedName>
    <definedName name="_15_同援日１０．５" localSheetId="27">'[1]_15_同行援護（名前定義）'!$C$24</definedName>
    <definedName name="_15_同援日１０．５" localSheetId="25">'[1]_15_同行援護（名前定義）'!$C$24</definedName>
    <definedName name="_15_同援日１０．５">'_15_同行援護（名前定義）'!$C$24</definedName>
    <definedName name="_15_同援日２．０" localSheetId="17">'[1]_15_同行援護（名前定義）'!$C$7</definedName>
    <definedName name="_15_同援日２．０" localSheetId="15">'[1]_15_同行援護（名前定義）'!$C$7</definedName>
    <definedName name="_15_同援日２．０" localSheetId="13">'[1]_15_同行援護（名前定義）'!$C$7</definedName>
    <definedName name="_15_同援日２．０" localSheetId="29">'[1]_15_同行援護（名前定義）'!$C$7</definedName>
    <definedName name="_15_同援日２．０" localSheetId="27">'[1]_15_同行援護（名前定義）'!$C$7</definedName>
    <definedName name="_15_同援日２．０" localSheetId="25">'[1]_15_同行援護（名前定義）'!$C$7</definedName>
    <definedName name="_15_同援日２．０">'_15_同行援護（名前定義）'!$C$7</definedName>
    <definedName name="_15_同援日２．０＿０．５" localSheetId="17">'[1]_15_同行援護（名前定義）'!$C$58</definedName>
    <definedName name="_15_同援日２．０＿０．５" localSheetId="15">'[1]_15_同行援護（名前定義）'!$C$58</definedName>
    <definedName name="_15_同援日２．０＿０．５" localSheetId="13">'[1]_15_同行援護（名前定義）'!$C$58</definedName>
    <definedName name="_15_同援日２．０＿０．５" localSheetId="29">'[1]_15_同行援護（名前定義）'!$C$58</definedName>
    <definedName name="_15_同援日２．０＿０．５" localSheetId="27">'[1]_15_同行援護（名前定義）'!$C$58</definedName>
    <definedName name="_15_同援日２．０＿０．５" localSheetId="25">'[1]_15_同行援護（名前定義）'!$C$58</definedName>
    <definedName name="_15_同援日２．０＿０．５">'_15_同行援護（名前定義）'!$C$58</definedName>
    <definedName name="_15_同援日２．０＿０．５＿０．５" localSheetId="17">'[1]_15_同行援護（名前定義）'!$C$80</definedName>
    <definedName name="_15_同援日２．０＿０．５＿０．５" localSheetId="15">'[1]_15_同行援護（名前定義）'!$C$80</definedName>
    <definedName name="_15_同援日２．０＿０．５＿０．５" localSheetId="13">'[1]_15_同行援護（名前定義）'!$C$80</definedName>
    <definedName name="_15_同援日２．０＿０．５＿０．５" localSheetId="29">'[1]_15_同行援護（名前定義）'!$C$80</definedName>
    <definedName name="_15_同援日２．０＿０．５＿０．５" localSheetId="27">'[1]_15_同行援護（名前定義）'!$C$80</definedName>
    <definedName name="_15_同援日２．０＿０．５＿０．５" localSheetId="25">'[1]_15_同行援護（名前定義）'!$C$80</definedName>
    <definedName name="_15_同援日２．０＿０．５＿０．５">'_15_同行援護（名前定義）'!$C$80</definedName>
    <definedName name="_15_同援日２．０＿１．０" localSheetId="17">'[1]_15_同行援護（名前定義）'!$C$59</definedName>
    <definedName name="_15_同援日２．０＿１．０" localSheetId="15">'[1]_15_同行援護（名前定義）'!$C$59</definedName>
    <definedName name="_15_同援日２．０＿１．０" localSheetId="13">'[1]_15_同行援護（名前定義）'!$C$59</definedName>
    <definedName name="_15_同援日２．０＿１．０" localSheetId="29">'[1]_15_同行援護（名前定義）'!$C$59</definedName>
    <definedName name="_15_同援日２．０＿１．０" localSheetId="27">'[1]_15_同行援護（名前定義）'!$C$59</definedName>
    <definedName name="_15_同援日２．０＿１．０" localSheetId="25">'[1]_15_同行援護（名前定義）'!$C$59</definedName>
    <definedName name="_15_同援日２．０＿１．０">'_15_同行援護（名前定義）'!$C$59</definedName>
    <definedName name="_15_同援日２．５" localSheetId="17">'[1]_15_同行援護（名前定義）'!$C$8</definedName>
    <definedName name="_15_同援日２．５" localSheetId="15">'[1]_15_同行援護（名前定義）'!$C$8</definedName>
    <definedName name="_15_同援日２．５" localSheetId="13">'[1]_15_同行援護（名前定義）'!$C$8</definedName>
    <definedName name="_15_同援日２．５" localSheetId="29">'[1]_15_同行援護（名前定義）'!$C$8</definedName>
    <definedName name="_15_同援日２．５" localSheetId="27">'[1]_15_同行援護（名前定義）'!$C$8</definedName>
    <definedName name="_15_同援日２．５" localSheetId="25">'[1]_15_同行援護（名前定義）'!$C$8</definedName>
    <definedName name="_15_同援日２．５">'_15_同行援護（名前定義）'!$C$8</definedName>
    <definedName name="_15_同援日２．５＿０．５" localSheetId="17">'[1]_15_同行援護（名前定義）'!$C$60</definedName>
    <definedName name="_15_同援日２．５＿０．５" localSheetId="15">'[1]_15_同行援護（名前定義）'!$C$60</definedName>
    <definedName name="_15_同援日２．５＿０．５" localSheetId="13">'[1]_15_同行援護（名前定義）'!$C$60</definedName>
    <definedName name="_15_同援日２．５＿０．５" localSheetId="29">'[1]_15_同行援護（名前定義）'!$C$60</definedName>
    <definedName name="_15_同援日２．５＿０．５" localSheetId="27">'[1]_15_同行援護（名前定義）'!$C$60</definedName>
    <definedName name="_15_同援日２．５＿０．５" localSheetId="25">'[1]_15_同行援護（名前定義）'!$C$60</definedName>
    <definedName name="_15_同援日２．５＿０．５">'_15_同行援護（名前定義）'!$C$60</definedName>
    <definedName name="_15_同援日３．０" localSheetId="17">'[1]_15_同行援護（名前定義）'!$C$9</definedName>
    <definedName name="_15_同援日３．０" localSheetId="15">'[1]_15_同行援護（名前定義）'!$C$9</definedName>
    <definedName name="_15_同援日３．０" localSheetId="13">'[1]_15_同行援護（名前定義）'!$C$9</definedName>
    <definedName name="_15_同援日３．０" localSheetId="29">'[1]_15_同行援護（名前定義）'!$C$9</definedName>
    <definedName name="_15_同援日３．０" localSheetId="27">'[1]_15_同行援護（名前定義）'!$C$9</definedName>
    <definedName name="_15_同援日３．０" localSheetId="25">'[1]_15_同行援護（名前定義）'!$C$9</definedName>
    <definedName name="_15_同援日３．０">'_15_同行援護（名前定義）'!$C$9</definedName>
    <definedName name="_15_同援日３．５" localSheetId="17">'[1]_15_同行援護（名前定義）'!$C$10</definedName>
    <definedName name="_15_同援日３．５" localSheetId="15">'[1]_15_同行援護（名前定義）'!$C$10</definedName>
    <definedName name="_15_同援日３．５" localSheetId="13">'[1]_15_同行援護（名前定義）'!$C$10</definedName>
    <definedName name="_15_同援日３．５" localSheetId="29">'[1]_15_同行援護（名前定義）'!$C$10</definedName>
    <definedName name="_15_同援日３．５" localSheetId="27">'[1]_15_同行援護（名前定義）'!$C$10</definedName>
    <definedName name="_15_同援日３．５" localSheetId="25">'[1]_15_同行援護（名前定義）'!$C$10</definedName>
    <definedName name="_15_同援日３．５">'_15_同行援護（名前定義）'!$C$10</definedName>
    <definedName name="_15_同援日４．０" localSheetId="17">'[1]_15_同行援護（名前定義）'!$C$11</definedName>
    <definedName name="_15_同援日４．０" localSheetId="15">'[1]_15_同行援護（名前定義）'!$C$11</definedName>
    <definedName name="_15_同援日４．０" localSheetId="13">'[1]_15_同行援護（名前定義）'!$C$11</definedName>
    <definedName name="_15_同援日４．０" localSheetId="29">'[1]_15_同行援護（名前定義）'!$C$11</definedName>
    <definedName name="_15_同援日４．０" localSheetId="27">'[1]_15_同行援護（名前定義）'!$C$11</definedName>
    <definedName name="_15_同援日４．０" localSheetId="25">'[1]_15_同行援護（名前定義）'!$C$11</definedName>
    <definedName name="_15_同援日４．０">'_15_同行援護（名前定義）'!$C$11</definedName>
    <definedName name="_15_同援日４．５" localSheetId="17">'[1]_15_同行援護（名前定義）'!$C$12</definedName>
    <definedName name="_15_同援日４．５" localSheetId="15">'[1]_15_同行援護（名前定義）'!$C$12</definedName>
    <definedName name="_15_同援日４．５" localSheetId="13">'[1]_15_同行援護（名前定義）'!$C$12</definedName>
    <definedName name="_15_同援日４．５" localSheetId="29">'[1]_15_同行援護（名前定義）'!$C$12</definedName>
    <definedName name="_15_同援日４．５" localSheetId="27">'[1]_15_同行援護（名前定義）'!$C$12</definedName>
    <definedName name="_15_同援日４．５" localSheetId="25">'[1]_15_同行援護（名前定義）'!$C$12</definedName>
    <definedName name="_15_同援日４．５">'_15_同行援護（名前定義）'!$C$12</definedName>
    <definedName name="_15_同援日５．０" localSheetId="17">'[1]_15_同行援護（名前定義）'!$C$13</definedName>
    <definedName name="_15_同援日５．０" localSheetId="15">'[1]_15_同行援護（名前定義）'!$C$13</definedName>
    <definedName name="_15_同援日５．０" localSheetId="13">'[1]_15_同行援護（名前定義）'!$C$13</definedName>
    <definedName name="_15_同援日５．０" localSheetId="29">'[1]_15_同行援護（名前定義）'!$C$13</definedName>
    <definedName name="_15_同援日５．０" localSheetId="27">'[1]_15_同行援護（名前定義）'!$C$13</definedName>
    <definedName name="_15_同援日５．０" localSheetId="25">'[1]_15_同行援護（名前定義）'!$C$13</definedName>
    <definedName name="_15_同援日５．０">'_15_同行援護（名前定義）'!$C$13</definedName>
    <definedName name="_15_同援日５．５" localSheetId="17">'[1]_15_同行援護（名前定義）'!$C$14</definedName>
    <definedName name="_15_同援日５．５" localSheetId="15">'[1]_15_同行援護（名前定義）'!$C$14</definedName>
    <definedName name="_15_同援日５．５" localSheetId="13">'[1]_15_同行援護（名前定義）'!$C$14</definedName>
    <definedName name="_15_同援日５．５" localSheetId="29">'[1]_15_同行援護（名前定義）'!$C$14</definedName>
    <definedName name="_15_同援日５．５" localSheetId="27">'[1]_15_同行援護（名前定義）'!$C$14</definedName>
    <definedName name="_15_同援日５．５" localSheetId="25">'[1]_15_同行援護（名前定義）'!$C$14</definedName>
    <definedName name="_15_同援日５．５">'_15_同行援護（名前定義）'!$C$14</definedName>
    <definedName name="_15_同援日６．０" localSheetId="17">'[1]_15_同行援護（名前定義）'!$C$15</definedName>
    <definedName name="_15_同援日６．０" localSheetId="15">'[1]_15_同行援護（名前定義）'!$C$15</definedName>
    <definedName name="_15_同援日６．０" localSheetId="13">'[1]_15_同行援護（名前定義）'!$C$15</definedName>
    <definedName name="_15_同援日６．０" localSheetId="29">'[1]_15_同行援護（名前定義）'!$C$15</definedName>
    <definedName name="_15_同援日６．０" localSheetId="27">'[1]_15_同行援護（名前定義）'!$C$15</definedName>
    <definedName name="_15_同援日６．０" localSheetId="25">'[1]_15_同行援護（名前定義）'!$C$15</definedName>
    <definedName name="_15_同援日６．０">'_15_同行援護（名前定義）'!$C$15</definedName>
    <definedName name="_15_同援日６．５" localSheetId="17">'[1]_15_同行援護（名前定義）'!$C$16</definedName>
    <definedName name="_15_同援日６．５" localSheetId="15">'[1]_15_同行援護（名前定義）'!$C$16</definedName>
    <definedName name="_15_同援日６．５" localSheetId="13">'[1]_15_同行援護（名前定義）'!$C$16</definedName>
    <definedName name="_15_同援日６．５" localSheetId="29">'[1]_15_同行援護（名前定義）'!$C$16</definedName>
    <definedName name="_15_同援日６．５" localSheetId="27">'[1]_15_同行援護（名前定義）'!$C$16</definedName>
    <definedName name="_15_同援日６．５" localSheetId="25">'[1]_15_同行援護（名前定義）'!$C$16</definedName>
    <definedName name="_15_同援日６．５">'_15_同行援護（名前定義）'!$C$16</definedName>
    <definedName name="_15_同援日７．０" localSheetId="17">'[1]_15_同行援護（名前定義）'!$C$17</definedName>
    <definedName name="_15_同援日７．０" localSheetId="15">'[1]_15_同行援護（名前定義）'!$C$17</definedName>
    <definedName name="_15_同援日７．０" localSheetId="13">'[1]_15_同行援護（名前定義）'!$C$17</definedName>
    <definedName name="_15_同援日７．０" localSheetId="29">'[1]_15_同行援護（名前定義）'!$C$17</definedName>
    <definedName name="_15_同援日７．０" localSheetId="27">'[1]_15_同行援護（名前定義）'!$C$17</definedName>
    <definedName name="_15_同援日７．０" localSheetId="25">'[1]_15_同行援護（名前定義）'!$C$17</definedName>
    <definedName name="_15_同援日７．０">'_15_同行援護（名前定義）'!$C$17</definedName>
    <definedName name="_15_同援日７．５" localSheetId="17">'[1]_15_同行援護（名前定義）'!$C$18</definedName>
    <definedName name="_15_同援日７．５" localSheetId="15">'[1]_15_同行援護（名前定義）'!$C$18</definedName>
    <definedName name="_15_同援日７．５" localSheetId="13">'[1]_15_同行援護（名前定義）'!$C$18</definedName>
    <definedName name="_15_同援日７．５" localSheetId="29">'[1]_15_同行援護（名前定義）'!$C$18</definedName>
    <definedName name="_15_同援日７．５" localSheetId="27">'[1]_15_同行援護（名前定義）'!$C$18</definedName>
    <definedName name="_15_同援日７．５" localSheetId="25">'[1]_15_同行援護（名前定義）'!$C$18</definedName>
    <definedName name="_15_同援日７．５">'_15_同行援護（名前定義）'!$C$18</definedName>
    <definedName name="_15_同援日８．０" localSheetId="17">'[1]_15_同行援護（名前定義）'!$C$19</definedName>
    <definedName name="_15_同援日８．０" localSheetId="15">'[1]_15_同行援護（名前定義）'!$C$19</definedName>
    <definedName name="_15_同援日８．０" localSheetId="13">'[1]_15_同行援護（名前定義）'!$C$19</definedName>
    <definedName name="_15_同援日８．０" localSheetId="29">'[1]_15_同行援護（名前定義）'!$C$19</definedName>
    <definedName name="_15_同援日８．０" localSheetId="27">'[1]_15_同行援護（名前定義）'!$C$19</definedName>
    <definedName name="_15_同援日８．０" localSheetId="25">'[1]_15_同行援護（名前定義）'!$C$19</definedName>
    <definedName name="_15_同援日８．０">'_15_同行援護（名前定義）'!$C$19</definedName>
    <definedName name="_15_同援日８．５" localSheetId="17">'[1]_15_同行援護（名前定義）'!$C$20</definedName>
    <definedName name="_15_同援日８．５" localSheetId="15">'[1]_15_同行援護（名前定義）'!$C$20</definedName>
    <definedName name="_15_同援日８．５" localSheetId="13">'[1]_15_同行援護（名前定義）'!$C$20</definedName>
    <definedName name="_15_同援日８．５" localSheetId="29">'[1]_15_同行援護（名前定義）'!$C$20</definedName>
    <definedName name="_15_同援日８．５" localSheetId="27">'[1]_15_同行援護（名前定義）'!$C$20</definedName>
    <definedName name="_15_同援日８．５" localSheetId="25">'[1]_15_同行援護（名前定義）'!$C$20</definedName>
    <definedName name="_15_同援日８．５">'_15_同行援護（名前定義）'!$C$20</definedName>
    <definedName name="_15_同援日９．０" localSheetId="17">'[1]_15_同行援護（名前定義）'!$C$21</definedName>
    <definedName name="_15_同援日９．０" localSheetId="15">'[1]_15_同行援護（名前定義）'!$C$21</definedName>
    <definedName name="_15_同援日９．０" localSheetId="13">'[1]_15_同行援護（名前定義）'!$C$21</definedName>
    <definedName name="_15_同援日９．０" localSheetId="29">'[1]_15_同行援護（名前定義）'!$C$21</definedName>
    <definedName name="_15_同援日９．０" localSheetId="27">'[1]_15_同行援護（名前定義）'!$C$21</definedName>
    <definedName name="_15_同援日９．０" localSheetId="25">'[1]_15_同行援護（名前定義）'!$C$21</definedName>
    <definedName name="_15_同援日９．０">'_15_同行援護（名前定義）'!$C$21</definedName>
    <definedName name="_15_同援日９．５" localSheetId="17">'[1]_15_同行援護（名前定義）'!$C$22</definedName>
    <definedName name="_15_同援日９．５" localSheetId="15">'[1]_15_同行援護（名前定義）'!$C$22</definedName>
    <definedName name="_15_同援日９．５" localSheetId="13">'[1]_15_同行援護（名前定義）'!$C$22</definedName>
    <definedName name="_15_同援日９．５" localSheetId="29">'[1]_15_同行援護（名前定義）'!$C$22</definedName>
    <definedName name="_15_同援日９．５" localSheetId="27">'[1]_15_同行援護（名前定義）'!$C$22</definedName>
    <definedName name="_15_同援日９．５" localSheetId="25">'[1]_15_同行援護（名前定義）'!$C$22</definedName>
    <definedName name="_15_同援日９．５">'_15_同行援護（名前定義）'!$C$22</definedName>
    <definedName name="_15_同援日増０．５" localSheetId="17">'[1]_15_同行援護（名前定義）'!$C$25</definedName>
    <definedName name="_15_同援日増０．５" localSheetId="15">'[1]_15_同行援護（名前定義）'!$C$25</definedName>
    <definedName name="_15_同援日増０．５" localSheetId="13">'[1]_15_同行援護（名前定義）'!$C$25</definedName>
    <definedName name="_15_同援日増０．５" localSheetId="29">'[1]_15_同行援護（名前定義）'!$C$25</definedName>
    <definedName name="_15_同援日増０．５" localSheetId="27">'[1]_15_同行援護（名前定義）'!$C$25</definedName>
    <definedName name="_15_同援日増０．５" localSheetId="25">'[1]_15_同行援護（名前定義）'!$C$25</definedName>
    <definedName name="_15_同援日増０．５">'_15_同行援護（名前定義）'!$C$25</definedName>
    <definedName name="_15_同援日増０．５_補正">'[1]_15_同行援護（名前定義）'!$C$95</definedName>
    <definedName name="_15_同援日増１．０" localSheetId="17">'[1]_15_同行援護（名前定義）'!$C$26</definedName>
    <definedName name="_15_同援日増１．０" localSheetId="15">'[1]_15_同行援護（名前定義）'!$C$26</definedName>
    <definedName name="_15_同援日増１．０" localSheetId="13">'[1]_15_同行援護（名前定義）'!$C$26</definedName>
    <definedName name="_15_同援日増１．０" localSheetId="29">'[1]_15_同行援護（名前定義）'!$C$26</definedName>
    <definedName name="_15_同援日増１．０" localSheetId="27">'[1]_15_同行援護（名前定義）'!$C$26</definedName>
    <definedName name="_15_同援日増１．０" localSheetId="25">'[1]_15_同行援護（名前定義）'!$C$26</definedName>
    <definedName name="_15_同援日増１．０">'_15_同行援護（名前定義）'!$C$26</definedName>
    <definedName name="_15_同援日増１．０_補正">'[1]_15_同行援護（名前定義）'!$C$96</definedName>
    <definedName name="_15_同援日増１．５" localSheetId="17">'[1]_15_同行援護（名前定義）'!$C$27</definedName>
    <definedName name="_15_同援日増１．５" localSheetId="15">'[1]_15_同行援護（名前定義）'!$C$27</definedName>
    <definedName name="_15_同援日増１．５" localSheetId="13">'[1]_15_同行援護（名前定義）'!$C$27</definedName>
    <definedName name="_15_同援日増１．５" localSheetId="29">'[1]_15_同行援護（名前定義）'!$C$27</definedName>
    <definedName name="_15_同援日増１．５" localSheetId="27">'[1]_15_同行援護（名前定義）'!$C$27</definedName>
    <definedName name="_15_同援日増１．５" localSheetId="25">'[1]_15_同行援護（名前定義）'!$C$27</definedName>
    <definedName name="_15_同援日増１．５">'_15_同行援護（名前定義）'!$C$27</definedName>
    <definedName name="_15_同援日増１．５_補正">'[1]_15_同行援護（名前定義）'!$C$97</definedName>
    <definedName name="_15_同援日増１０．０" localSheetId="17">'[1]_15_同行援護（名前定義）'!$C$44</definedName>
    <definedName name="_15_同援日増１０．０" localSheetId="15">'[1]_15_同行援護（名前定義）'!$C$44</definedName>
    <definedName name="_15_同援日増１０．０" localSheetId="13">'[1]_15_同行援護（名前定義）'!$C$44</definedName>
    <definedName name="_15_同援日増１０．０" localSheetId="29">'[1]_15_同行援護（名前定義）'!$C$44</definedName>
    <definedName name="_15_同援日増１０．０" localSheetId="27">'[1]_15_同行援護（名前定義）'!$C$44</definedName>
    <definedName name="_15_同援日増１０．０" localSheetId="25">'[1]_15_同行援護（名前定義）'!$C$44</definedName>
    <definedName name="_15_同援日増１０．０">'_15_同行援護（名前定義）'!$C$44</definedName>
    <definedName name="_15_同援日増１０．０_補正">'[1]_15_同行援護（名前定義）'!$C$114</definedName>
    <definedName name="_15_同援日増１０．５" localSheetId="17">'[1]_15_同行援護（名前定義）'!$C$45</definedName>
    <definedName name="_15_同援日増１０．５" localSheetId="15">'[1]_15_同行援護（名前定義）'!$C$45</definedName>
    <definedName name="_15_同援日増１０．５" localSheetId="13">'[1]_15_同行援護（名前定義）'!$C$45</definedName>
    <definedName name="_15_同援日増１０．５" localSheetId="29">'[1]_15_同行援護（名前定義）'!$C$45</definedName>
    <definedName name="_15_同援日増１０．５" localSheetId="27">'[1]_15_同行援護（名前定義）'!$C$45</definedName>
    <definedName name="_15_同援日増１０．５" localSheetId="25">'[1]_15_同行援護（名前定義）'!$C$45</definedName>
    <definedName name="_15_同援日増１０．５">'_15_同行援護（名前定義）'!$C$45</definedName>
    <definedName name="_15_同援日増１０．５_補正">'[1]_15_同行援護（名前定義）'!$C$115</definedName>
    <definedName name="_15_同援日増２．０" localSheetId="17">'[1]_15_同行援護（名前定義）'!$C$28</definedName>
    <definedName name="_15_同援日増２．０" localSheetId="15">'[1]_15_同行援護（名前定義）'!$C$28</definedName>
    <definedName name="_15_同援日増２．０" localSheetId="13">'[1]_15_同行援護（名前定義）'!$C$28</definedName>
    <definedName name="_15_同援日増２．０" localSheetId="29">'[1]_15_同行援護（名前定義）'!$C$28</definedName>
    <definedName name="_15_同援日増２．０" localSheetId="27">'[1]_15_同行援護（名前定義）'!$C$28</definedName>
    <definedName name="_15_同援日増２．０" localSheetId="25">'[1]_15_同行援護（名前定義）'!$C$28</definedName>
    <definedName name="_15_同援日増２．０">'_15_同行援護（名前定義）'!$C$28</definedName>
    <definedName name="_15_同援日増２．０_補正">'[1]_15_同行援護（名前定義）'!$C$98</definedName>
    <definedName name="_15_同援日増２．５" localSheetId="17">'[1]_15_同行援護（名前定義）'!$C$29</definedName>
    <definedName name="_15_同援日増２．５" localSheetId="15">'[1]_15_同行援護（名前定義）'!$C$29</definedName>
    <definedName name="_15_同援日増２．５" localSheetId="13">'[1]_15_同行援護（名前定義）'!$C$29</definedName>
    <definedName name="_15_同援日増２．５" localSheetId="29">'[1]_15_同行援護（名前定義）'!$C$29</definedName>
    <definedName name="_15_同援日増２．５" localSheetId="27">'[1]_15_同行援護（名前定義）'!$C$29</definedName>
    <definedName name="_15_同援日増２．５" localSheetId="25">'[1]_15_同行援護（名前定義）'!$C$29</definedName>
    <definedName name="_15_同援日増２．５">'_15_同行援護（名前定義）'!$C$29</definedName>
    <definedName name="_15_同援日増２．５_補正">'[1]_15_同行援護（名前定義）'!$C$99</definedName>
    <definedName name="_15_同援日増３．０" localSheetId="17">'[1]_15_同行援護（名前定義）'!$C$30</definedName>
    <definedName name="_15_同援日増３．０" localSheetId="15">'[1]_15_同行援護（名前定義）'!$C$30</definedName>
    <definedName name="_15_同援日増３．０" localSheetId="13">'[1]_15_同行援護（名前定義）'!$C$30</definedName>
    <definedName name="_15_同援日増３．０" localSheetId="29">'[1]_15_同行援護（名前定義）'!$C$30</definedName>
    <definedName name="_15_同援日増３．０" localSheetId="27">'[1]_15_同行援護（名前定義）'!$C$30</definedName>
    <definedName name="_15_同援日増３．０" localSheetId="25">'[1]_15_同行援護（名前定義）'!$C$30</definedName>
    <definedName name="_15_同援日増３．０">'_15_同行援護（名前定義）'!$C$30</definedName>
    <definedName name="_15_同援日増３．０_補正">'[1]_15_同行援護（名前定義）'!$C$100</definedName>
    <definedName name="_15_同援日増３．５" localSheetId="17">'[1]_15_同行援護（名前定義）'!$C$31</definedName>
    <definedName name="_15_同援日増３．５" localSheetId="15">'[1]_15_同行援護（名前定義）'!$C$31</definedName>
    <definedName name="_15_同援日増３．５" localSheetId="13">'[1]_15_同行援護（名前定義）'!$C$31</definedName>
    <definedName name="_15_同援日増３．５" localSheetId="29">'[1]_15_同行援護（名前定義）'!$C$31</definedName>
    <definedName name="_15_同援日増３．５" localSheetId="27">'[1]_15_同行援護（名前定義）'!$C$31</definedName>
    <definedName name="_15_同援日増３．５" localSheetId="25">'[1]_15_同行援護（名前定義）'!$C$31</definedName>
    <definedName name="_15_同援日増３．５">'_15_同行援護（名前定義）'!$C$31</definedName>
    <definedName name="_15_同援日増３．５_補正">'[1]_15_同行援護（名前定義）'!$C$101</definedName>
    <definedName name="_15_同援日増４．０" localSheetId="17">'[1]_15_同行援護（名前定義）'!$C$32</definedName>
    <definedName name="_15_同援日増４．０" localSheetId="15">'[1]_15_同行援護（名前定義）'!$C$32</definedName>
    <definedName name="_15_同援日増４．０" localSheetId="13">'[1]_15_同行援護（名前定義）'!$C$32</definedName>
    <definedName name="_15_同援日増４．０" localSheetId="29">'[1]_15_同行援護（名前定義）'!$C$32</definedName>
    <definedName name="_15_同援日増４．０" localSheetId="27">'[1]_15_同行援護（名前定義）'!$C$32</definedName>
    <definedName name="_15_同援日増４．０" localSheetId="25">'[1]_15_同行援護（名前定義）'!$C$32</definedName>
    <definedName name="_15_同援日増４．０">'_15_同行援護（名前定義）'!$C$32</definedName>
    <definedName name="_15_同援日増４．０_補正">'[1]_15_同行援護（名前定義）'!$C$102</definedName>
    <definedName name="_15_同援日増４．５" localSheetId="17">'[1]_15_同行援護（名前定義）'!$C$33</definedName>
    <definedName name="_15_同援日増４．５" localSheetId="15">'[1]_15_同行援護（名前定義）'!$C$33</definedName>
    <definedName name="_15_同援日増４．５" localSheetId="13">'[1]_15_同行援護（名前定義）'!$C$33</definedName>
    <definedName name="_15_同援日増４．５" localSheetId="29">'[1]_15_同行援護（名前定義）'!$C$33</definedName>
    <definedName name="_15_同援日増４．５" localSheetId="27">'[1]_15_同行援護（名前定義）'!$C$33</definedName>
    <definedName name="_15_同援日増４．５" localSheetId="25">'[1]_15_同行援護（名前定義）'!$C$33</definedName>
    <definedName name="_15_同援日増４．５">'_15_同行援護（名前定義）'!$C$33</definedName>
    <definedName name="_15_同援日増４．５_補正">'[1]_15_同行援護（名前定義）'!$C$103</definedName>
    <definedName name="_15_同援日増５．０" localSheetId="17">'[1]_15_同行援護（名前定義）'!$C$34</definedName>
    <definedName name="_15_同援日増５．０" localSheetId="15">'[1]_15_同行援護（名前定義）'!$C$34</definedName>
    <definedName name="_15_同援日増５．０" localSheetId="13">'[1]_15_同行援護（名前定義）'!$C$34</definedName>
    <definedName name="_15_同援日増５．０" localSheetId="29">'[1]_15_同行援護（名前定義）'!$C$34</definedName>
    <definedName name="_15_同援日増５．０" localSheetId="27">'[1]_15_同行援護（名前定義）'!$C$34</definedName>
    <definedName name="_15_同援日増５．０" localSheetId="25">'[1]_15_同行援護（名前定義）'!$C$34</definedName>
    <definedName name="_15_同援日増５．０">'_15_同行援護（名前定義）'!$C$34</definedName>
    <definedName name="_15_同援日増５．０_補正">'[1]_15_同行援護（名前定義）'!$C$104</definedName>
    <definedName name="_15_同援日増５．５" localSheetId="17">'[1]_15_同行援護（名前定義）'!$C$35</definedName>
    <definedName name="_15_同援日増５．５" localSheetId="15">'[1]_15_同行援護（名前定義）'!$C$35</definedName>
    <definedName name="_15_同援日増５．５" localSheetId="13">'[1]_15_同行援護（名前定義）'!$C$35</definedName>
    <definedName name="_15_同援日増５．５" localSheetId="29">'[1]_15_同行援護（名前定義）'!$C$35</definedName>
    <definedName name="_15_同援日増５．５" localSheetId="27">'[1]_15_同行援護（名前定義）'!$C$35</definedName>
    <definedName name="_15_同援日増５．５" localSheetId="25">'[1]_15_同行援護（名前定義）'!$C$35</definedName>
    <definedName name="_15_同援日増５．５">'_15_同行援護（名前定義）'!$C$35</definedName>
    <definedName name="_15_同援日増５．５_補正">'[1]_15_同行援護（名前定義）'!$C$105</definedName>
    <definedName name="_15_同援日増６．０" localSheetId="17">'[1]_15_同行援護（名前定義）'!$C$36</definedName>
    <definedName name="_15_同援日増６．０" localSheetId="15">'[1]_15_同行援護（名前定義）'!$C$36</definedName>
    <definedName name="_15_同援日増６．０" localSheetId="13">'[1]_15_同行援護（名前定義）'!$C$36</definedName>
    <definedName name="_15_同援日増６．０" localSheetId="29">'[1]_15_同行援護（名前定義）'!$C$36</definedName>
    <definedName name="_15_同援日増６．０" localSheetId="27">'[1]_15_同行援護（名前定義）'!$C$36</definedName>
    <definedName name="_15_同援日増６．０" localSheetId="25">'[1]_15_同行援護（名前定義）'!$C$36</definedName>
    <definedName name="_15_同援日増６．０">'_15_同行援護（名前定義）'!$C$36</definedName>
    <definedName name="_15_同援日増６．０_補正">'[1]_15_同行援護（名前定義）'!$C$106</definedName>
    <definedName name="_15_同援日増６．５" localSheetId="17">'[1]_15_同行援護（名前定義）'!$C$37</definedName>
    <definedName name="_15_同援日増６．５" localSheetId="15">'[1]_15_同行援護（名前定義）'!$C$37</definedName>
    <definedName name="_15_同援日増６．５" localSheetId="13">'[1]_15_同行援護（名前定義）'!$C$37</definedName>
    <definedName name="_15_同援日増６．５" localSheetId="29">'[1]_15_同行援護（名前定義）'!$C$37</definedName>
    <definedName name="_15_同援日増６．５" localSheetId="27">'[1]_15_同行援護（名前定義）'!$C$37</definedName>
    <definedName name="_15_同援日増６．５" localSheetId="25">'[1]_15_同行援護（名前定義）'!$C$37</definedName>
    <definedName name="_15_同援日増６．５">'_15_同行援護（名前定義）'!$C$37</definedName>
    <definedName name="_15_同援日増６．５_補正">'[1]_15_同行援護（名前定義）'!$C$107</definedName>
    <definedName name="_15_同援日増７．０" localSheetId="17">'[1]_15_同行援護（名前定義）'!$C$38</definedName>
    <definedName name="_15_同援日増７．０" localSheetId="15">'[1]_15_同行援護（名前定義）'!$C$38</definedName>
    <definedName name="_15_同援日増７．０" localSheetId="13">'[1]_15_同行援護（名前定義）'!$C$38</definedName>
    <definedName name="_15_同援日増７．０" localSheetId="29">'[1]_15_同行援護（名前定義）'!$C$38</definedName>
    <definedName name="_15_同援日増７．０" localSheetId="27">'[1]_15_同行援護（名前定義）'!$C$38</definedName>
    <definedName name="_15_同援日増７．０" localSheetId="25">'[1]_15_同行援護（名前定義）'!$C$38</definedName>
    <definedName name="_15_同援日増７．０">'_15_同行援護（名前定義）'!$C$38</definedName>
    <definedName name="_15_同援日増７．０_補正">'[1]_15_同行援護（名前定義）'!$C$108</definedName>
    <definedName name="_15_同援日増７．５" localSheetId="17">'[1]_15_同行援護（名前定義）'!$C$39</definedName>
    <definedName name="_15_同援日増７．５" localSheetId="15">'[1]_15_同行援護（名前定義）'!$C$39</definedName>
    <definedName name="_15_同援日増７．５" localSheetId="13">'[1]_15_同行援護（名前定義）'!$C$39</definedName>
    <definedName name="_15_同援日増７．５" localSheetId="29">'[1]_15_同行援護（名前定義）'!$C$39</definedName>
    <definedName name="_15_同援日増７．５" localSheetId="27">'[1]_15_同行援護（名前定義）'!$C$39</definedName>
    <definedName name="_15_同援日増７．５" localSheetId="25">'[1]_15_同行援護（名前定義）'!$C$39</definedName>
    <definedName name="_15_同援日増７．５">'_15_同行援護（名前定義）'!$C$39</definedName>
    <definedName name="_15_同援日増７．５_補正">'[1]_15_同行援護（名前定義）'!$C$109</definedName>
    <definedName name="_15_同援日増８．０" localSheetId="17">'[1]_15_同行援護（名前定義）'!$C$40</definedName>
    <definedName name="_15_同援日増８．０" localSheetId="15">'[1]_15_同行援護（名前定義）'!$C$40</definedName>
    <definedName name="_15_同援日増８．０" localSheetId="13">'[1]_15_同行援護（名前定義）'!$C$40</definedName>
    <definedName name="_15_同援日増８．０" localSheetId="29">'[1]_15_同行援護（名前定義）'!$C$40</definedName>
    <definedName name="_15_同援日増８．０" localSheetId="27">'[1]_15_同行援護（名前定義）'!$C$40</definedName>
    <definedName name="_15_同援日増８．０" localSheetId="25">'[1]_15_同行援護（名前定義）'!$C$40</definedName>
    <definedName name="_15_同援日増８．０">'_15_同行援護（名前定義）'!$C$40</definedName>
    <definedName name="_15_同援日増８．０_補正">'[1]_15_同行援護（名前定義）'!$C$110</definedName>
    <definedName name="_15_同援日増８．５" localSheetId="17">'[1]_15_同行援護（名前定義）'!$C$41</definedName>
    <definedName name="_15_同援日増８．５" localSheetId="15">'[1]_15_同行援護（名前定義）'!$C$41</definedName>
    <definedName name="_15_同援日増８．５" localSheetId="13">'[1]_15_同行援護（名前定義）'!$C$41</definedName>
    <definedName name="_15_同援日増８．５" localSheetId="29">'[1]_15_同行援護（名前定義）'!$C$41</definedName>
    <definedName name="_15_同援日増８．５" localSheetId="27">'[1]_15_同行援護（名前定義）'!$C$41</definedName>
    <definedName name="_15_同援日増８．５" localSheetId="25">'[1]_15_同行援護（名前定義）'!$C$41</definedName>
    <definedName name="_15_同援日増８．５">'_15_同行援護（名前定義）'!$C$41</definedName>
    <definedName name="_15_同援日増８．５_補正">'[1]_15_同行援護（名前定義）'!$C$111</definedName>
    <definedName name="_15_同援日増９．０" localSheetId="17">'[1]_15_同行援護（名前定義）'!$C$42</definedName>
    <definedName name="_15_同援日増９．０" localSheetId="15">'[1]_15_同行援護（名前定義）'!$C$42</definedName>
    <definedName name="_15_同援日増９．０" localSheetId="13">'[1]_15_同行援護（名前定義）'!$C$42</definedName>
    <definedName name="_15_同援日増９．０" localSheetId="29">'[1]_15_同行援護（名前定義）'!$C$42</definedName>
    <definedName name="_15_同援日増９．０" localSheetId="27">'[1]_15_同行援護（名前定義）'!$C$42</definedName>
    <definedName name="_15_同援日増９．０" localSheetId="25">'[1]_15_同行援護（名前定義）'!$C$42</definedName>
    <definedName name="_15_同援日増９．０">'_15_同行援護（名前定義）'!$C$42</definedName>
    <definedName name="_15_同援日増９．０_補正">'[1]_15_同行援護（名前定義）'!$C$112</definedName>
    <definedName name="_15_同援日増９．５" localSheetId="17">'[1]_15_同行援護（名前定義）'!$C$43</definedName>
    <definedName name="_15_同援日増９．５" localSheetId="15">'[1]_15_同行援護（名前定義）'!$C$43</definedName>
    <definedName name="_15_同援日増９．５" localSheetId="13">'[1]_15_同行援護（名前定義）'!$C$43</definedName>
    <definedName name="_15_同援日増９．５" localSheetId="29">'[1]_15_同行援護（名前定義）'!$C$43</definedName>
    <definedName name="_15_同援日増９．５" localSheetId="27">'[1]_15_同行援護（名前定義）'!$C$43</definedName>
    <definedName name="_15_同援日増９．５" localSheetId="25">'[1]_15_同行援護（名前定義）'!$C$43</definedName>
    <definedName name="_15_同援日増９．５">'_15_同行援護（名前定義）'!$C$43</definedName>
    <definedName name="_15_同援日増９．５_補正">'[1]_15_同行援護（名前定義）'!$C$113</definedName>
    <definedName name="_15・２人" localSheetId="17">'[1]_15_同行援護（名前定義）'!$C$83</definedName>
    <definedName name="_15・２人" localSheetId="15">'[1]_15_同行援護（名前定義）'!$C$83</definedName>
    <definedName name="_15・２人" localSheetId="13">'[1]_15_同行援護（名前定義）'!$C$83</definedName>
    <definedName name="_15・２人" localSheetId="29">'[1]_15_同行援護（名前定義）'!$C$83</definedName>
    <definedName name="_15・２人" localSheetId="27">'[1]_15_同行援護（名前定義）'!$C$83</definedName>
    <definedName name="_15・２人" localSheetId="25">'[1]_15_同行援護（名前定義）'!$C$83</definedName>
    <definedName name="_15・２人">'_15_同行援護（名前定義）'!$C$83</definedName>
    <definedName name="_15・A深夜" localSheetId="17">'[1]_15_同行援護（名前定義）'!$C$84</definedName>
    <definedName name="_15・A深夜" localSheetId="15">'[1]_15_同行援護（名前定義）'!$C$84</definedName>
    <definedName name="_15・A深夜" localSheetId="13">'[1]_15_同行援護（名前定義）'!$C$84</definedName>
    <definedName name="_15・A深夜" localSheetId="29">'[1]_15_同行援護（名前定義）'!$C$84</definedName>
    <definedName name="_15・A深夜" localSheetId="27">'[1]_15_同行援護（名前定義）'!$C$84</definedName>
    <definedName name="_15・A深夜" localSheetId="25">'[1]_15_同行援護（名前定義）'!$C$84</definedName>
    <definedName name="_15・A深夜">'_15_同行援護（名前定義）'!$C$84</definedName>
    <definedName name="_15・A早朝" localSheetId="17">'[1]_15_同行援護（名前定義）'!$C$85</definedName>
    <definedName name="_15・A早朝" localSheetId="15">'[1]_15_同行援護（名前定義）'!$C$85</definedName>
    <definedName name="_15・A早朝" localSheetId="13">'[1]_15_同行援護（名前定義）'!$C$85</definedName>
    <definedName name="_15・A早朝" localSheetId="29">'[1]_15_同行援護（名前定義）'!$C$85</definedName>
    <definedName name="_15・A早朝" localSheetId="27">'[1]_15_同行援護（名前定義）'!$C$85</definedName>
    <definedName name="_15・A早朝" localSheetId="25">'[1]_15_同行援護（名前定義）'!$C$85</definedName>
    <definedName name="_15・A早朝">'_15_同行援護（名前定義）'!$C$85</definedName>
    <definedName name="_15・A夜間" localSheetId="17">'[1]_15_同行援護（名前定義）'!$C$86</definedName>
    <definedName name="_15・A夜間" localSheetId="15">'[1]_15_同行援護（名前定義）'!$C$86</definedName>
    <definedName name="_15・A夜間" localSheetId="13">'[1]_15_同行援護（名前定義）'!$C$86</definedName>
    <definedName name="_15・A夜間" localSheetId="29">'[1]_15_同行援護（名前定義）'!$C$86</definedName>
    <definedName name="_15・A夜間" localSheetId="27">'[1]_15_同行援護（名前定義）'!$C$86</definedName>
    <definedName name="_15・A夜間" localSheetId="25">'[1]_15_同行援護（名前定義）'!$C$86</definedName>
    <definedName name="_15・A夜間">'_15_同行援護（名前定義）'!$C$86</definedName>
    <definedName name="_15・B深夜" localSheetId="17">'[1]_15_同行援護（名前定義）'!$C$87</definedName>
    <definedName name="_15・B深夜" localSheetId="15">'[1]_15_同行援護（名前定義）'!$C$87</definedName>
    <definedName name="_15・B深夜" localSheetId="13">'[1]_15_同行援護（名前定義）'!$C$87</definedName>
    <definedName name="_15・B深夜" localSheetId="29">'[1]_15_同行援護（名前定義）'!$C$87</definedName>
    <definedName name="_15・B深夜" localSheetId="27">'[1]_15_同行援護（名前定義）'!$C$87</definedName>
    <definedName name="_15・B深夜" localSheetId="25">'[1]_15_同行援護（名前定義）'!$C$87</definedName>
    <definedName name="_15・B深夜">'_15_同行援護（名前定義）'!$C$87</definedName>
    <definedName name="_15・B早朝" localSheetId="17">'[1]_15_同行援護（名前定義）'!$C$88</definedName>
    <definedName name="_15・B早朝" localSheetId="15">'[1]_15_同行援護（名前定義）'!$C$88</definedName>
    <definedName name="_15・B早朝" localSheetId="13">'[1]_15_同行援護（名前定義）'!$C$88</definedName>
    <definedName name="_15・B早朝" localSheetId="29">'[1]_15_同行援護（名前定義）'!$C$88</definedName>
    <definedName name="_15・B早朝" localSheetId="27">'[1]_15_同行援護（名前定義）'!$C$88</definedName>
    <definedName name="_15・B早朝" localSheetId="25">'[1]_15_同行援護（名前定義）'!$C$88</definedName>
    <definedName name="_15・B早朝">'_15_同行援護（名前定義）'!$C$88</definedName>
    <definedName name="_15・B夜間" localSheetId="17">'[1]_15_同行援護（名前定義）'!$C$89</definedName>
    <definedName name="_15・B夜間" localSheetId="15">'[1]_15_同行援護（名前定義）'!$C$89</definedName>
    <definedName name="_15・B夜間" localSheetId="13">'[1]_15_同行援護（名前定義）'!$C$89</definedName>
    <definedName name="_15・B夜間" localSheetId="29">'[1]_15_同行援護（名前定義）'!$C$89</definedName>
    <definedName name="_15・B夜間" localSheetId="27">'[1]_15_同行援護（名前定義）'!$C$89</definedName>
    <definedName name="_15・B夜間" localSheetId="25">'[1]_15_同行援護（名前定義）'!$C$89</definedName>
    <definedName name="_15・B夜間">'_15_同行援護（名前定義）'!$C$89</definedName>
    <definedName name="_15・C深夜" localSheetId="17">'[1]_15_同行援護（名前定義）'!$C$90</definedName>
    <definedName name="_15・C深夜" localSheetId="15">'[1]_15_同行援護（名前定義）'!$C$90</definedName>
    <definedName name="_15・C深夜" localSheetId="13">'[1]_15_同行援護（名前定義）'!$C$90</definedName>
    <definedName name="_15・C深夜" localSheetId="29">'[1]_15_同行援護（名前定義）'!$C$90</definedName>
    <definedName name="_15・C深夜" localSheetId="27">'[1]_15_同行援護（名前定義）'!$C$90</definedName>
    <definedName name="_15・C深夜" localSheetId="25">'[1]_15_同行援護（名前定義）'!$C$90</definedName>
    <definedName name="_15・C深夜">'_15_同行援護（名前定義）'!$C$90</definedName>
    <definedName name="_15・C夜間" localSheetId="17">'[1]_15_同行援護（名前定義）'!$C$91</definedName>
    <definedName name="_15・C夜間" localSheetId="15">'[1]_15_同行援護（名前定義）'!$C$91</definedName>
    <definedName name="_15・C夜間" localSheetId="13">'[1]_15_同行援護（名前定義）'!$C$91</definedName>
    <definedName name="_15・C夜間" localSheetId="29">'[1]_15_同行援護（名前定義）'!$C$91</definedName>
    <definedName name="_15・C夜間" localSheetId="27">'[1]_15_同行援護（名前定義）'!$C$91</definedName>
    <definedName name="_15・C夜間" localSheetId="25">'[1]_15_同行援護（名前定義）'!$C$91</definedName>
    <definedName name="_15・C夜間">'_15_同行援護（名前定義）'!$C$91</definedName>
    <definedName name="_15・基礎２" localSheetId="17">'[1]_15_同行援護（名前定義）'!$C$81</definedName>
    <definedName name="_15・基礎２" localSheetId="15">'[1]_15_同行援護（名前定義）'!$C$81</definedName>
    <definedName name="_15・基礎２" localSheetId="13">'[1]_15_同行援護（名前定義）'!$C$81</definedName>
    <definedName name="_15・基礎２" localSheetId="29">'[1]_15_同行援護（名前定義）'!$C$81</definedName>
    <definedName name="_15・基礎２" localSheetId="27">'[1]_15_同行援護（名前定義）'!$C$81</definedName>
    <definedName name="_15・基礎２" localSheetId="25">'[1]_15_同行援護（名前定義）'!$C$81</definedName>
    <definedName name="_15・基礎２">'_15_同行援護（名前定義）'!$C$81</definedName>
    <definedName name="_15・虐防措減算" localSheetId="17">'[1]_15_同行援護（名前定義）'!#REF!</definedName>
    <definedName name="_15・虐防措減算" localSheetId="15">'[1]_15_同行援護（名前定義）'!#REF!</definedName>
    <definedName name="_15・虐防措減算" localSheetId="13">'[1]_15_同行援護（名前定義）'!#REF!</definedName>
    <definedName name="_15・虐防措減算" localSheetId="29">'[1]_15_同行援護（名前定義）'!#REF!</definedName>
    <definedName name="_15・虐防措減算" localSheetId="27">'[1]_15_同行援護（名前定義）'!#REF!</definedName>
    <definedName name="_15・虐防措減算" localSheetId="25">'[1]_15_同行援護（名前定義）'!#REF!</definedName>
    <definedName name="_15・虐防措減算">'_15_同行援護（名前定義）'!#REF!</definedName>
    <definedName name="_15・区３" localSheetId="17">'[1]_15_同行援護（名前定義）'!$C$93</definedName>
    <definedName name="_15・区３" localSheetId="15">'[1]_15_同行援護（名前定義）'!$C$93</definedName>
    <definedName name="_15・区３" localSheetId="13">'[1]_15_同行援護（名前定義）'!$C$93</definedName>
    <definedName name="_15・区３" localSheetId="29">'[1]_15_同行援護（名前定義）'!$C$93</definedName>
    <definedName name="_15・区３" localSheetId="27">'[1]_15_同行援護（名前定義）'!$C$93</definedName>
    <definedName name="_15・区３" localSheetId="25">'[1]_15_同行援護（名前定義）'!$C$93</definedName>
    <definedName name="_15・区３">'_15_同行援護（名前定義）'!$C$93</definedName>
    <definedName name="_15・区４" localSheetId="17">'[1]_15_同行援護（名前定義）'!$C$94</definedName>
    <definedName name="_15・区４" localSheetId="15">'[1]_15_同行援護（名前定義）'!$C$94</definedName>
    <definedName name="_15・区４" localSheetId="13">'[1]_15_同行援護（名前定義）'!$C$94</definedName>
    <definedName name="_15・区４" localSheetId="29">'[1]_15_同行援護（名前定義）'!$C$94</definedName>
    <definedName name="_15・区４" localSheetId="27">'[1]_15_同行援護（名前定義）'!$C$94</definedName>
    <definedName name="_15・区４" localSheetId="25">'[1]_15_同行援護（名前定義）'!$C$94</definedName>
    <definedName name="_15・区４">'_15_同行援護（名前定義）'!$C$94</definedName>
    <definedName name="_15・身拘廃減算" localSheetId="17">'[1]_15_同行援護（名前定義）'!#REF!</definedName>
    <definedName name="_15・身拘廃減算" localSheetId="15">'[1]_15_同行援護（名前定義）'!#REF!</definedName>
    <definedName name="_15・身拘廃減算" localSheetId="13">'[1]_15_同行援護（名前定義）'!#REF!</definedName>
    <definedName name="_15・身拘廃減算" localSheetId="29">'[1]_15_同行援護（名前定義）'!#REF!</definedName>
    <definedName name="_15・身拘廃減算" localSheetId="27">'[1]_15_同行援護（名前定義）'!#REF!</definedName>
    <definedName name="_15・身拘廃減算" localSheetId="25">'[1]_15_同行援護（名前定義）'!#REF!</definedName>
    <definedName name="_15・身拘廃減算">'_15_同行援護（名前定義）'!#REF!</definedName>
    <definedName name="_15・通訳" localSheetId="17">'[1]_15_同行援護（名前定義）'!$C$82</definedName>
    <definedName name="_15・通訳" localSheetId="15">'[1]_15_同行援護（名前定義）'!$C$82</definedName>
    <definedName name="_15・通訳" localSheetId="13">'[1]_15_同行援護（名前定義）'!$C$82</definedName>
    <definedName name="_15・通訳" localSheetId="29">'[1]_15_同行援護（名前定義）'!$C$82</definedName>
    <definedName name="_15・通訳" localSheetId="27">'[1]_15_同行援護（名前定義）'!$C$82</definedName>
    <definedName name="_15・通訳" localSheetId="25">'[1]_15_同行援護（名前定義）'!$C$82</definedName>
    <definedName name="_15・通訳">'_15_同行援護（名前定義）'!$C$82</definedName>
    <definedName name="_15・盲ろう" localSheetId="17">'[1]_15_同行援護（名前定義）'!$C$92</definedName>
    <definedName name="_15・盲ろう" localSheetId="15">'[1]_15_同行援護（名前定義）'!$C$92</definedName>
    <definedName name="_15・盲ろう" localSheetId="13">'[1]_15_同行援護（名前定義）'!$C$92</definedName>
    <definedName name="_15・盲ろう" localSheetId="29">'[1]_15_同行援護（名前定義）'!$C$92</definedName>
    <definedName name="_15・盲ろう" localSheetId="27">'[1]_15_同行援護（名前定義）'!$C$92</definedName>
    <definedName name="_15・盲ろう" localSheetId="25">'[1]_15_同行援護（名前定義）'!$C$92</definedName>
    <definedName name="_15・盲ろう">'_15_同行援護（名前定義）'!$C$92</definedName>
    <definedName name="_xlnm._FilterDatabase" localSheetId="9" hidden="1">'(身体あり、2h未合成１)'!$A$6:$Y$84</definedName>
    <definedName name="_xlnm._FilterDatabase" localSheetId="10" hidden="1">'(身体あり、2h未合成２)'!$A$6:$T$68</definedName>
    <definedName name="_xlnm._FilterDatabase" localSheetId="11" hidden="1">'(身体あり、2h未合成３‐1)'!$A$6:$Y$87</definedName>
    <definedName name="_xlnm._FilterDatabase" localSheetId="4" hidden="1">'(身体あり、合成深夜)'!$A$6:$W$68</definedName>
    <definedName name="_xlnm._FilterDatabase" localSheetId="5" hidden="1">'(身体あり、合成早朝)'!$A$6:$T$68</definedName>
    <definedName name="_xlnm._FilterDatabase" localSheetId="6" hidden="1">'(身体あり、合成日中)'!$A$6:$Y$77</definedName>
    <definedName name="_xlnm._FilterDatabase" localSheetId="7" hidden="1">'(身体あり、合成夜間１)'!$A$6:$W$68</definedName>
    <definedName name="_xlnm._FilterDatabase" localSheetId="8" hidden="1">'(身体あり、合成夜間２)'!$A$6:$V$68</definedName>
    <definedName name="_xlnm._FilterDatabase" localSheetId="16" hidden="1">'(身体あり、深夜増分)'!$A$6:$P$60</definedName>
    <definedName name="_xlnm._FilterDatabase" localSheetId="17" hidden="1">'(身体あり、深夜増分)(補正)'!$A$4:$P$58</definedName>
    <definedName name="_xlnm._FilterDatabase" localSheetId="14" hidden="1">'(身体あり、早朝夜間増分)'!$A$6:$P$69</definedName>
    <definedName name="_xlnm._FilterDatabase" localSheetId="15" hidden="1">'(身体あり、早朝夜間増分)(補正)'!$A$31:$P$67</definedName>
    <definedName name="_xlnm._FilterDatabase" localSheetId="3" hidden="1">'(身体あり、単一深夜)'!$A$6:$R$60</definedName>
    <definedName name="_xlnm._FilterDatabase" localSheetId="2" hidden="1">'(身体あり、単一早朝夜間)'!$A$6:$R$69</definedName>
    <definedName name="_xlnm._FilterDatabase" localSheetId="1" hidden="1">'(身体あり、単一日中)'!$A$6:$O$92</definedName>
    <definedName name="_xlnm._FilterDatabase" localSheetId="12" hidden="1">'(身体あり、日中増分)'!$A$6:$M$92</definedName>
    <definedName name="_xlnm._FilterDatabase" localSheetId="13" hidden="1">'(身体あり、日中増分)(補正)'!$A$4:$M$90</definedName>
    <definedName name="_xlnm._FilterDatabase" localSheetId="23" hidden="1">'(身体なし、2h未合成１)'!$A$6:$Y$38</definedName>
    <definedName name="_xlnm._FilterDatabase" localSheetId="21" hidden="1">'(身体なし、合成１)'!$A$6:$W$54</definedName>
    <definedName name="_xlnm._FilterDatabase" localSheetId="22" hidden="1">'(身体なし、合成２)'!$A$6:$Y$37</definedName>
    <definedName name="_xlnm._FilterDatabase" localSheetId="28" hidden="1">'(身体なし、深夜増分)'!$A$6:$P$60</definedName>
    <definedName name="_xlnm._FilterDatabase" localSheetId="29" hidden="1">'(身体なし、深夜増分)(補正)'!$B$1:$B$60</definedName>
    <definedName name="_xlnm._FilterDatabase" localSheetId="26" hidden="1">'(身体なし、早朝夜間増分)'!$A$6:$P$69</definedName>
    <definedName name="_xlnm._FilterDatabase" localSheetId="27" hidden="1">'(身体なし、早朝夜間増分)(補正)'!$A$29:$P$67</definedName>
    <definedName name="_xlnm._FilterDatabase" localSheetId="20" hidden="1">'(身体なし、単一深夜)'!$A$6:$R$60</definedName>
    <definedName name="_xlnm._FilterDatabase" localSheetId="19" hidden="1">'(身体なし、単一早朝夜間)'!$A$6:$R$69</definedName>
    <definedName name="_xlnm._FilterDatabase" localSheetId="18" hidden="1">'(身体なし、単一日中)'!$A$6:$O$92</definedName>
    <definedName name="_xlnm._FilterDatabase" localSheetId="24" hidden="1">'(身体なし、日中増分)'!$A$6:$M$92</definedName>
    <definedName name="_xlnm._FilterDatabase" localSheetId="25" hidden="1">'(身体なし、日中増分)(補正)'!$A$4:$M$90</definedName>
    <definedName name="_xlnm._FilterDatabase" localSheetId="0" hidden="1">'_11_居宅介護（名前定義）'!$A$3:$D$385</definedName>
    <definedName name="_xlnm._FilterDatabase" localSheetId="31" hidden="1">'_15_同行援護（名前定義）'!$A$3:$B$94</definedName>
    <definedName name="_xlnm._FilterDatabase" localSheetId="30" hidden="1">上限管理加算!$A$6:$O$9</definedName>
    <definedName name="_xlnm.Print_Area" localSheetId="9">'(身体あり、2h未合成１)'!$A$1:$Y$83</definedName>
    <definedName name="_xlnm.Print_Area" localSheetId="10">'(身体あり、2h未合成２)'!$A$1:$T$67</definedName>
    <definedName name="_xlnm.Print_Area" localSheetId="11">'(身体あり、2h未合成３‐1)'!$A$1:$Y$87</definedName>
    <definedName name="_xlnm.Print_Area" localSheetId="4">'(身体あり、合成深夜)'!$A$1:$W$67</definedName>
    <definedName name="_xlnm.Print_Area" localSheetId="5">'(身体あり、合成早朝)'!$A$1:$T$66</definedName>
    <definedName name="_xlnm.Print_Area" localSheetId="6">'(身体あり、合成日中)'!$A$1:$Y$76</definedName>
    <definedName name="_xlnm.Print_Area" localSheetId="7">'(身体あり、合成夜間１)'!$A$1:$W$66</definedName>
    <definedName name="_xlnm.Print_Area" localSheetId="8">'(身体あり、合成夜間２)'!$A$1:$V$67</definedName>
    <definedName name="_xlnm.Print_Area" localSheetId="16">'(身体あり、深夜増分)'!$A$1:$P$59</definedName>
    <definedName name="_xlnm.Print_Area" localSheetId="17">'(身体あり、深夜増分)(補正)'!$A$1:$P$59</definedName>
    <definedName name="_xlnm.Print_Area" localSheetId="14">'(身体あり、早朝夜間増分)'!$A$1:$P$68</definedName>
    <definedName name="_xlnm.Print_Area" localSheetId="15">'(身体あり、早朝夜間増分)(補正)'!$A$1:$P$68</definedName>
    <definedName name="_xlnm.Print_Area" localSheetId="3">'(身体あり、単一深夜)'!$A$1:$R$59</definedName>
    <definedName name="_xlnm.Print_Area" localSheetId="2">'(身体あり、単一早朝夜間)'!$A$1:$R$68</definedName>
    <definedName name="_xlnm.Print_Area" localSheetId="1">'(身体あり、単一日中)'!$A$1:$O$91</definedName>
    <definedName name="_xlnm.Print_Area" localSheetId="12">'(身体あり、日中増分)'!$A$1:$M$91</definedName>
    <definedName name="_xlnm.Print_Area" localSheetId="13">'(身体あり、日中増分)(補正)'!$A$1:$M$91</definedName>
    <definedName name="_xlnm.Print_Area" localSheetId="23">'(身体なし、2h未合成１)'!$A$1:$Y$37</definedName>
    <definedName name="_xlnm.Print_Area" localSheetId="21">'(身体なし、合成１)'!$A$1:$W$53</definedName>
    <definedName name="_xlnm.Print_Area" localSheetId="22">'(身体なし、合成２)'!$A$1:$Y$36</definedName>
    <definedName name="_xlnm.Print_Area" localSheetId="28">'(身体なし、深夜増分)'!$A$1:$P$59</definedName>
    <definedName name="_xlnm.Print_Area" localSheetId="29">'(身体なし、深夜増分)(補正)'!$A$1:$P$59</definedName>
    <definedName name="_xlnm.Print_Area" localSheetId="26">'(身体なし、早朝夜間増分)'!$A$1:$P$68</definedName>
    <definedName name="_xlnm.Print_Area" localSheetId="27">'(身体なし、早朝夜間増分)(補正)'!$A$1:$P$68</definedName>
    <definedName name="_xlnm.Print_Area" localSheetId="20">'(身体なし、単一深夜)'!$A$1:$R$59</definedName>
    <definedName name="_xlnm.Print_Area" localSheetId="19">'(身体なし、単一早朝夜間)'!$A$1:$R$68</definedName>
    <definedName name="_xlnm.Print_Area" localSheetId="18">'(身体なし、単一日中)'!$A$1:$O$91</definedName>
    <definedName name="_xlnm.Print_Area" localSheetId="24">'(身体なし、日中増分)'!$A$1:$M$91</definedName>
    <definedName name="_xlnm.Print_Area" localSheetId="25">'(身体なし、日中増分)(補正)'!$A$1:$M$91</definedName>
    <definedName name="_xlnm.Print_Area" localSheetId="30">上限管理加算!$A$1:$K$7</definedName>
    <definedName name="_xlnm.Print_Titles" localSheetId="9">'(身体あり、2h未合成１)'!$4:$6</definedName>
    <definedName name="_xlnm.Print_Titles" localSheetId="10">'(身体あり、2h未合成２)'!$4:$6</definedName>
    <definedName name="_xlnm.Print_Titles" localSheetId="11">'(身体あり、2h未合成３‐1)'!$4:$6</definedName>
    <definedName name="_xlnm.Print_Titles" localSheetId="4">'(身体あり、合成深夜)'!$4:$6</definedName>
    <definedName name="_xlnm.Print_Titles" localSheetId="5">'(身体あり、合成早朝)'!$4:$6</definedName>
    <definedName name="_xlnm.Print_Titles" localSheetId="6">'(身体あり、合成日中)'!$5:$6</definedName>
    <definedName name="_xlnm.Print_Titles" localSheetId="7">'(身体あり、合成夜間１)'!$4:$6</definedName>
    <definedName name="_xlnm.Print_Titles" localSheetId="8">'(身体あり、合成夜間２)'!$4:$6</definedName>
    <definedName name="_xlnm.Print_Titles" localSheetId="16">'(身体あり、深夜増分)'!$4:$6</definedName>
    <definedName name="_xlnm.Print_Titles" localSheetId="17">'(身体あり、深夜増分)(補正)'!$4:$6</definedName>
    <definedName name="_xlnm.Print_Titles" localSheetId="3">'(身体あり、単一深夜)'!$4:$6</definedName>
    <definedName name="_xlnm.Print_Titles" localSheetId="1">'(身体あり、単一日中)'!$4:$6</definedName>
    <definedName name="_xlnm.Print_Titles" localSheetId="12">'(身体あり、日中増分)'!$4:$6</definedName>
    <definedName name="_xlnm.Print_Titles" localSheetId="13">'(身体あり、日中増分)(補正)'!$4:$6</definedName>
    <definedName name="_xlnm.Print_Titles" localSheetId="28">'(身体なし、深夜増分)'!$4:$6</definedName>
    <definedName name="_xlnm.Print_Titles" localSheetId="29">'(身体なし、深夜増分)(補正)'!$4:$6</definedName>
    <definedName name="_xlnm.Print_Titles" localSheetId="20">'(身体なし、単一深夜)'!$4:$6</definedName>
    <definedName name="_xlnm.Print_Titles" localSheetId="18">'(身体なし、単一日中)'!$4:$6</definedName>
    <definedName name="_xlnm.Print_Titles" localSheetId="24">'(身体なし、日中増分)'!$4:$6</definedName>
    <definedName name="_xlnm.Print_Titles" localSheetId="25">'(身体なし、日中増分)(補正)'!$4:$6</definedName>
    <definedName name="_xlnm.Print_Titles" localSheetId="30">上限管理加算!$4:$6</definedName>
  </definedNames>
  <calcPr calcId="162913"/>
</workbook>
</file>

<file path=xl/calcChain.xml><?xml version="1.0" encoding="utf-8"?>
<calcChain xmlns="http://schemas.openxmlformats.org/spreadsheetml/2006/main">
  <c r="J7" i="101" l="1"/>
  <c r="O10" i="92"/>
  <c r="D10" i="92"/>
  <c r="O9" i="92"/>
  <c r="O8" i="92"/>
  <c r="O7" i="92"/>
  <c r="O35" i="91"/>
  <c r="D35" i="91"/>
  <c r="O34" i="91"/>
  <c r="O33" i="91"/>
  <c r="O32" i="91"/>
  <c r="O10" i="91"/>
  <c r="D10" i="91"/>
  <c r="O9" i="91"/>
  <c r="O8" i="91"/>
  <c r="O7" i="91"/>
  <c r="L10" i="90"/>
  <c r="D10" i="90"/>
  <c r="L9" i="90"/>
  <c r="L8" i="90"/>
  <c r="L7" i="90"/>
  <c r="D36" i="89"/>
  <c r="D27" i="89"/>
  <c r="D19" i="89"/>
  <c r="D10" i="89"/>
  <c r="E18" i="88"/>
  <c r="E10" i="88"/>
  <c r="D52" i="87"/>
  <c r="D44" i="87"/>
  <c r="D35" i="87"/>
  <c r="D27" i="87"/>
  <c r="D18" i="87"/>
  <c r="D10" i="87"/>
  <c r="Q22" i="86"/>
  <c r="D22" i="86"/>
  <c r="Q21" i="86"/>
  <c r="Q20" i="86"/>
  <c r="Q19" i="86"/>
  <c r="Q18" i="86"/>
  <c r="D18" i="86"/>
  <c r="Q17" i="86"/>
  <c r="Q16" i="86"/>
  <c r="Q15" i="86"/>
  <c r="Q14" i="86"/>
  <c r="D14" i="86"/>
  <c r="Q13" i="86"/>
  <c r="Q12" i="86"/>
  <c r="Q11" i="86"/>
  <c r="Q10" i="86"/>
  <c r="D10" i="86"/>
  <c r="Q9" i="86"/>
  <c r="Q8" i="86"/>
  <c r="Q7" i="86"/>
  <c r="Q47" i="85"/>
  <c r="D47" i="85"/>
  <c r="Q46" i="85"/>
  <c r="Q45" i="85"/>
  <c r="Q44" i="85"/>
  <c r="Q43" i="85"/>
  <c r="D43" i="85"/>
  <c r="Q42" i="85"/>
  <c r="Q41" i="85"/>
  <c r="Q40" i="85"/>
  <c r="Q39" i="85"/>
  <c r="D39" i="85"/>
  <c r="Q38" i="85"/>
  <c r="Q37" i="85"/>
  <c r="Q36" i="85"/>
  <c r="Q35" i="85"/>
  <c r="D35" i="85"/>
  <c r="Q34" i="85"/>
  <c r="Q33" i="85"/>
  <c r="Q32" i="85"/>
  <c r="Q22" i="85"/>
  <c r="D22" i="85"/>
  <c r="Q21" i="85"/>
  <c r="Q20" i="85"/>
  <c r="Q19" i="85"/>
  <c r="Q18" i="85"/>
  <c r="D18" i="85"/>
  <c r="Q17" i="85"/>
  <c r="Q16" i="85"/>
  <c r="Q15" i="85"/>
  <c r="Q14" i="85"/>
  <c r="D14" i="85"/>
  <c r="Q13" i="85"/>
  <c r="Q12" i="85"/>
  <c r="Q11" i="85"/>
  <c r="Q10" i="85"/>
  <c r="D10" i="85"/>
  <c r="Q9" i="85"/>
  <c r="Q8" i="85"/>
  <c r="Q7" i="85"/>
  <c r="N22" i="84"/>
  <c r="D22" i="84"/>
  <c r="N21" i="84"/>
  <c r="N20" i="84"/>
  <c r="N19" i="84"/>
  <c r="N18" i="84"/>
  <c r="D18" i="84"/>
  <c r="N17" i="84"/>
  <c r="N16" i="84"/>
  <c r="N15" i="84"/>
  <c r="N14" i="84"/>
  <c r="D14" i="84"/>
  <c r="N13" i="84"/>
  <c r="N12" i="84"/>
  <c r="N11" i="84"/>
  <c r="N10" i="84"/>
  <c r="D10" i="84"/>
  <c r="N9" i="84"/>
  <c r="N8" i="84"/>
  <c r="N7" i="84"/>
  <c r="O10" i="43"/>
  <c r="D10" i="43"/>
  <c r="O9" i="43"/>
  <c r="O8" i="43"/>
  <c r="O7" i="43"/>
  <c r="O35" i="42"/>
  <c r="D35" i="42"/>
  <c r="O34" i="42"/>
  <c r="O33" i="42"/>
  <c r="O32" i="42"/>
  <c r="O10" i="42"/>
  <c r="D10" i="42"/>
  <c r="O9" i="42"/>
  <c r="O8" i="42"/>
  <c r="O7" i="42"/>
  <c r="L10" i="41"/>
  <c r="D10" i="41"/>
  <c r="L9" i="41"/>
  <c r="L8" i="41"/>
  <c r="L7" i="41"/>
  <c r="D86" i="39"/>
  <c r="D78" i="39"/>
  <c r="D66" i="39"/>
  <c r="D50" i="39"/>
  <c r="D46" i="39"/>
  <c r="D38" i="39"/>
  <c r="D26" i="39"/>
  <c r="D22" i="39"/>
  <c r="D10" i="39"/>
  <c r="D66" i="38"/>
  <c r="D58" i="38"/>
  <c r="D46" i="38"/>
  <c r="D30" i="38"/>
  <c r="D10" i="38"/>
  <c r="D82" i="37"/>
  <c r="D74" i="37"/>
  <c r="D62" i="37"/>
  <c r="D46" i="37"/>
  <c r="D42" i="37"/>
  <c r="D34" i="37"/>
  <c r="D22" i="37"/>
  <c r="D18" i="37"/>
  <c r="D10" i="37"/>
  <c r="D66" i="35"/>
  <c r="D58" i="35"/>
  <c r="D46" i="35"/>
  <c r="D30" i="35"/>
  <c r="D10" i="35"/>
  <c r="D75" i="34"/>
  <c r="D66" i="34"/>
  <c r="D58" i="34"/>
  <c r="D46" i="34"/>
  <c r="D30" i="34"/>
  <c r="D10" i="34"/>
  <c r="D66" i="33"/>
  <c r="D58" i="33"/>
  <c r="D46" i="33"/>
  <c r="D30" i="33"/>
  <c r="D10" i="33"/>
  <c r="D66" i="32"/>
  <c r="D58" i="32"/>
  <c r="D46" i="32"/>
  <c r="D30" i="32"/>
  <c r="D10" i="32"/>
  <c r="Q34" i="31"/>
  <c r="D34" i="31"/>
  <c r="Q33" i="31"/>
  <c r="Q32" i="31"/>
  <c r="Q31" i="31"/>
  <c r="Q30" i="31"/>
  <c r="D30" i="31"/>
  <c r="Q29" i="31"/>
  <c r="Q28" i="31"/>
  <c r="Q27" i="31"/>
  <c r="Q26" i="31"/>
  <c r="D26" i="31"/>
  <c r="Q25" i="31"/>
  <c r="Q24" i="31"/>
  <c r="Q23" i="31"/>
  <c r="Q22" i="31"/>
  <c r="D22" i="31"/>
  <c r="Q21" i="31"/>
  <c r="Q20" i="31"/>
  <c r="Q19" i="31"/>
  <c r="Q18" i="31"/>
  <c r="D18" i="31"/>
  <c r="Q17" i="31"/>
  <c r="Q16" i="31"/>
  <c r="Q15" i="31"/>
  <c r="Q14" i="31"/>
  <c r="D14" i="31"/>
  <c r="Q13" i="31"/>
  <c r="Q12" i="31"/>
  <c r="Q11" i="31"/>
  <c r="Q10" i="31"/>
  <c r="D10" i="31"/>
  <c r="Q9" i="31"/>
  <c r="Q8" i="31"/>
  <c r="Q7" i="31"/>
  <c r="Q59" i="30"/>
  <c r="D59" i="30"/>
  <c r="Q58" i="30"/>
  <c r="Q57" i="30"/>
  <c r="Q56" i="30"/>
  <c r="Q55" i="30"/>
  <c r="D55" i="30"/>
  <c r="Q54" i="30"/>
  <c r="Q53" i="30"/>
  <c r="Q52" i="30"/>
  <c r="Q51" i="30"/>
  <c r="D51" i="30"/>
  <c r="Q50" i="30"/>
  <c r="Q49" i="30"/>
  <c r="Q48" i="30"/>
  <c r="Q47" i="30"/>
  <c r="D47" i="30"/>
  <c r="Q46" i="30"/>
  <c r="Q45" i="30"/>
  <c r="Q44" i="30"/>
  <c r="Q43" i="30"/>
  <c r="D43" i="30"/>
  <c r="Q42" i="30"/>
  <c r="Q41" i="30"/>
  <c r="Q40" i="30"/>
  <c r="Q39" i="30"/>
  <c r="D39" i="30"/>
  <c r="Q38" i="30"/>
  <c r="Q37" i="30"/>
  <c r="Q36" i="30"/>
  <c r="Q35" i="30"/>
  <c r="D35" i="30"/>
  <c r="Q34" i="30"/>
  <c r="Q33" i="30"/>
  <c r="Q32" i="30"/>
  <c r="Q26" i="30"/>
  <c r="D26" i="30"/>
  <c r="Q25" i="30"/>
  <c r="Q24" i="30"/>
  <c r="Q23" i="30"/>
  <c r="Q22" i="30"/>
  <c r="D22" i="30"/>
  <c r="Q21" i="30"/>
  <c r="Q20" i="30"/>
  <c r="Q19" i="30"/>
  <c r="Q18" i="30"/>
  <c r="D18" i="30"/>
  <c r="Q17" i="30"/>
  <c r="Q16" i="30"/>
  <c r="Q15" i="30"/>
  <c r="Q14" i="30"/>
  <c r="D14" i="30"/>
  <c r="Q13" i="30"/>
  <c r="Q12" i="30"/>
  <c r="Q11" i="30"/>
  <c r="Q10" i="30"/>
  <c r="D10" i="30"/>
  <c r="Q9" i="30"/>
  <c r="Q8" i="30"/>
  <c r="Q7" i="30"/>
  <c r="N34" i="29"/>
  <c r="D34" i="29"/>
  <c r="N33" i="29"/>
  <c r="N32" i="29"/>
  <c r="N31" i="29"/>
  <c r="N30" i="29"/>
  <c r="D30" i="29"/>
  <c r="N29" i="29"/>
  <c r="N28" i="29"/>
  <c r="N27" i="29"/>
  <c r="N26" i="29"/>
  <c r="D26" i="29"/>
  <c r="N25" i="29"/>
  <c r="N24" i="29"/>
  <c r="N23" i="29"/>
  <c r="N22" i="29"/>
  <c r="D22" i="29"/>
  <c r="N21" i="29"/>
  <c r="N20" i="29"/>
  <c r="N19" i="29"/>
  <c r="N18" i="29"/>
  <c r="D18" i="29"/>
  <c r="N17" i="29"/>
  <c r="N16" i="29"/>
  <c r="N15" i="29"/>
  <c r="N14" i="29"/>
  <c r="D14" i="29"/>
  <c r="N13" i="29"/>
  <c r="N12" i="29"/>
  <c r="N11" i="29"/>
  <c r="N10" i="29"/>
  <c r="D10" i="29"/>
  <c r="N9" i="29"/>
  <c r="N8" i="29"/>
  <c r="N7" i="29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V47" i="32" s="1"/>
  <c r="C278" i="2"/>
  <c r="C277" i="2"/>
  <c r="S40" i="38" s="1"/>
  <c r="C276" i="2"/>
  <c r="F38" i="34" s="1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34" i="2"/>
  <c r="C235" i="2" s="1"/>
  <c r="C216" i="2"/>
  <c r="C171" i="2"/>
  <c r="C135" i="2"/>
  <c r="C109" i="2"/>
  <c r="C94" i="2"/>
  <c r="C67" i="2"/>
  <c r="C68" i="2" s="1"/>
  <c r="C52" i="2"/>
  <c r="C26" i="2"/>
  <c r="C11" i="2"/>
  <c r="X62" i="37" l="1"/>
  <c r="S9" i="33"/>
  <c r="V7" i="32"/>
  <c r="X81" i="39"/>
  <c r="X78" i="39"/>
  <c r="X80" i="39"/>
  <c r="X79" i="39"/>
  <c r="F78" i="39"/>
  <c r="X77" i="39"/>
  <c r="S46" i="38"/>
  <c r="X46" i="34"/>
  <c r="S43" i="33"/>
  <c r="F46" i="38"/>
  <c r="X73" i="37"/>
  <c r="U46" i="36"/>
  <c r="V46" i="35"/>
  <c r="F46" i="34"/>
  <c r="V45" i="32"/>
  <c r="X72" i="37"/>
  <c r="H46" i="36"/>
  <c r="F46" i="35"/>
  <c r="X76" i="39"/>
  <c r="S45" i="38"/>
  <c r="X78" i="37"/>
  <c r="X71" i="37"/>
  <c r="U45" i="36"/>
  <c r="X82" i="39"/>
  <c r="X75" i="39"/>
  <c r="S44" i="38"/>
  <c r="U44" i="36"/>
  <c r="V45" i="35"/>
  <c r="X44" i="34"/>
  <c r="F46" i="33"/>
  <c r="X75" i="37"/>
  <c r="F74" i="37"/>
  <c r="S44" i="33"/>
  <c r="X77" i="37"/>
  <c r="V44" i="35"/>
  <c r="S45" i="33"/>
  <c r="S43" i="38"/>
  <c r="X76" i="37"/>
  <c r="V43" i="35"/>
  <c r="V46" i="32"/>
  <c r="F46" i="32"/>
  <c r="X74" i="37"/>
  <c r="U43" i="36"/>
  <c r="X45" i="34"/>
  <c r="V44" i="32"/>
  <c r="S46" i="33"/>
  <c r="X43" i="34"/>
  <c r="V43" i="32"/>
  <c r="X34" i="39"/>
  <c r="X31" i="39"/>
  <c r="X29" i="39"/>
  <c r="X24" i="39"/>
  <c r="X28" i="37"/>
  <c r="X23" i="39"/>
  <c r="X27" i="37"/>
  <c r="X25" i="37"/>
  <c r="X22" i="37"/>
  <c r="U14" i="36"/>
  <c r="S11" i="33"/>
  <c r="X30" i="39"/>
  <c r="S14" i="38"/>
  <c r="X24" i="37"/>
  <c r="H14" i="36"/>
  <c r="X14" i="34"/>
  <c r="X26" i="39"/>
  <c r="F14" i="38"/>
  <c r="X23" i="37"/>
  <c r="F22" i="37"/>
  <c r="U13" i="36"/>
  <c r="V14" i="35"/>
  <c r="X33" i="39"/>
  <c r="X28" i="39"/>
  <c r="S13" i="38"/>
  <c r="U12" i="36"/>
  <c r="F14" i="35"/>
  <c r="X13" i="34"/>
  <c r="X25" i="39"/>
  <c r="X29" i="37"/>
  <c r="X26" i="37"/>
  <c r="X19" i="37"/>
  <c r="V11" i="35"/>
  <c r="S13" i="33"/>
  <c r="F26" i="39"/>
  <c r="X12" i="34"/>
  <c r="F14" i="32"/>
  <c r="X11" i="34"/>
  <c r="V13" i="32"/>
  <c r="X32" i="39"/>
  <c r="V12" i="32"/>
  <c r="V13" i="35"/>
  <c r="V11" i="32"/>
  <c r="S12" i="38"/>
  <c r="V12" i="35"/>
  <c r="F14" i="34"/>
  <c r="S12" i="33"/>
  <c r="V14" i="32"/>
  <c r="X30" i="37"/>
  <c r="S11" i="38"/>
  <c r="S14" i="33"/>
  <c r="X27" i="39"/>
  <c r="U11" i="36"/>
  <c r="F14" i="33"/>
  <c r="X21" i="37"/>
  <c r="X20" i="37"/>
  <c r="H22" i="39"/>
  <c r="H18" i="37"/>
  <c r="C69" i="2"/>
  <c r="H10" i="37"/>
  <c r="H14" i="39"/>
  <c r="H78" i="39"/>
  <c r="H74" i="37"/>
  <c r="V8" i="32"/>
  <c r="C95" i="2"/>
  <c r="Q37" i="31"/>
  <c r="Q63" i="30"/>
  <c r="N35" i="29"/>
  <c r="Q36" i="31"/>
  <c r="D63" i="30"/>
  <c r="Q35" i="31"/>
  <c r="Q62" i="30"/>
  <c r="Q61" i="30"/>
  <c r="Q60" i="30"/>
  <c r="N38" i="29"/>
  <c r="D38" i="31"/>
  <c r="N36" i="29"/>
  <c r="Q38" i="31"/>
  <c r="D38" i="29"/>
  <c r="N37" i="29"/>
  <c r="X13" i="39"/>
  <c r="S18" i="38"/>
  <c r="X8" i="37"/>
  <c r="H18" i="36"/>
  <c r="X18" i="34"/>
  <c r="X12" i="39"/>
  <c r="F18" i="38"/>
  <c r="X14" i="37"/>
  <c r="X7" i="37"/>
  <c r="U17" i="36"/>
  <c r="V18" i="35"/>
  <c r="F18" i="34"/>
  <c r="X11" i="39"/>
  <c r="S17" i="38"/>
  <c r="U16" i="36"/>
  <c r="F18" i="35"/>
  <c r="X17" i="34"/>
  <c r="X18" i="39"/>
  <c r="S16" i="38"/>
  <c r="X13" i="37"/>
  <c r="X10" i="37"/>
  <c r="U15" i="36"/>
  <c r="V17" i="35"/>
  <c r="S15" i="38"/>
  <c r="X12" i="37"/>
  <c r="V16" i="35"/>
  <c r="X15" i="34"/>
  <c r="F18" i="33"/>
  <c r="X15" i="39"/>
  <c r="F14" i="39"/>
  <c r="X9" i="37"/>
  <c r="U18" i="36"/>
  <c r="S15" i="33"/>
  <c r="F10" i="37"/>
  <c r="V15" i="35"/>
  <c r="S16" i="33"/>
  <c r="V16" i="32"/>
  <c r="X17" i="39"/>
  <c r="V15" i="32"/>
  <c r="X16" i="39"/>
  <c r="X14" i="39"/>
  <c r="X16" i="34"/>
  <c r="S17" i="33"/>
  <c r="V17" i="32"/>
  <c r="S18" i="33"/>
  <c r="X11" i="37"/>
  <c r="F46" i="39"/>
  <c r="X44" i="39"/>
  <c r="X43" i="39"/>
  <c r="S49" i="38"/>
  <c r="X40" i="37"/>
  <c r="H50" i="36"/>
  <c r="F50" i="35"/>
  <c r="X49" i="34"/>
  <c r="X46" i="39"/>
  <c r="S48" i="38"/>
  <c r="X39" i="37"/>
  <c r="U49" i="36"/>
  <c r="V49" i="35"/>
  <c r="X48" i="34"/>
  <c r="S50" i="33"/>
  <c r="S47" i="38"/>
  <c r="U48" i="36"/>
  <c r="V48" i="35"/>
  <c r="X47" i="34"/>
  <c r="F50" i="33"/>
  <c r="X42" i="37"/>
  <c r="U47" i="36"/>
  <c r="V47" i="35"/>
  <c r="X45" i="39"/>
  <c r="S48" i="33"/>
  <c r="V50" i="32"/>
  <c r="F50" i="38"/>
  <c r="X41" i="37"/>
  <c r="U50" i="36"/>
  <c r="V50" i="35"/>
  <c r="F50" i="34"/>
  <c r="F42" i="37"/>
  <c r="S49" i="33"/>
  <c r="F50" i="32"/>
  <c r="S47" i="33"/>
  <c r="V49" i="32"/>
  <c r="S50" i="38"/>
  <c r="V48" i="32"/>
  <c r="X50" i="34"/>
  <c r="H50" i="39"/>
  <c r="H46" i="37"/>
  <c r="H14" i="37"/>
  <c r="H18" i="39"/>
  <c r="H10" i="89"/>
  <c r="H36" i="89"/>
  <c r="C110" i="2"/>
  <c r="O12" i="43"/>
  <c r="D39" i="42"/>
  <c r="O11" i="43"/>
  <c r="O38" i="42"/>
  <c r="O14" i="42"/>
  <c r="O37" i="42"/>
  <c r="D14" i="42"/>
  <c r="O36" i="42"/>
  <c r="O13" i="42"/>
  <c r="L14" i="41"/>
  <c r="O12" i="42"/>
  <c r="D14" i="41"/>
  <c r="O14" i="43"/>
  <c r="O11" i="42"/>
  <c r="L13" i="41"/>
  <c r="O13" i="43"/>
  <c r="O39" i="42"/>
  <c r="D14" i="43"/>
  <c r="L12" i="41"/>
  <c r="L11" i="41"/>
  <c r="X10" i="39"/>
  <c r="S21" i="38"/>
  <c r="U20" i="36"/>
  <c r="F22" i="35"/>
  <c r="X75" i="34"/>
  <c r="X21" i="34"/>
  <c r="S20" i="38"/>
  <c r="U19" i="36"/>
  <c r="V21" i="35"/>
  <c r="X20" i="34"/>
  <c r="S22" i="33"/>
  <c r="F10" i="39"/>
  <c r="S19" i="38"/>
  <c r="V20" i="35"/>
  <c r="F75" i="34"/>
  <c r="X19" i="34"/>
  <c r="V19" i="35"/>
  <c r="X9" i="39"/>
  <c r="X74" i="34"/>
  <c r="S20" i="33"/>
  <c r="F22" i="38"/>
  <c r="U21" i="36"/>
  <c r="V22" i="35"/>
  <c r="F22" i="34"/>
  <c r="H22" i="36"/>
  <c r="S21" i="33"/>
  <c r="S19" i="33"/>
  <c r="X8" i="39"/>
  <c r="X7" i="39"/>
  <c r="V22" i="32"/>
  <c r="F22" i="32"/>
  <c r="U22" i="36"/>
  <c r="X22" i="34"/>
  <c r="F22" i="33"/>
  <c r="V19" i="32"/>
  <c r="V21" i="32"/>
  <c r="X73" i="34"/>
  <c r="V20" i="32"/>
  <c r="X72" i="34"/>
  <c r="S51" i="38"/>
  <c r="U52" i="36"/>
  <c r="V52" i="35"/>
  <c r="X51" i="34"/>
  <c r="F54" i="33"/>
  <c r="U51" i="36"/>
  <c r="V51" i="35"/>
  <c r="S53" i="33"/>
  <c r="S52" i="33"/>
  <c r="S54" i="38"/>
  <c r="X54" i="34"/>
  <c r="V53" i="32"/>
  <c r="S52" i="38"/>
  <c r="U53" i="36"/>
  <c r="V53" i="35"/>
  <c r="X52" i="34"/>
  <c r="S54" i="33"/>
  <c r="F54" i="38"/>
  <c r="V54" i="35"/>
  <c r="S53" i="38"/>
  <c r="F54" i="35"/>
  <c r="V54" i="32"/>
  <c r="F54" i="34"/>
  <c r="F54" i="32"/>
  <c r="X53" i="34"/>
  <c r="V52" i="32"/>
  <c r="S51" i="33"/>
  <c r="U54" i="36"/>
  <c r="V51" i="32"/>
  <c r="H54" i="36"/>
  <c r="X34" i="89"/>
  <c r="X17" i="89"/>
  <c r="H27" i="88"/>
  <c r="X33" i="89"/>
  <c r="X16" i="89"/>
  <c r="F10" i="89"/>
  <c r="X26" i="88"/>
  <c r="X9" i="88"/>
  <c r="V43" i="87"/>
  <c r="V26" i="87"/>
  <c r="V9" i="87"/>
  <c r="X25" i="88"/>
  <c r="X8" i="88"/>
  <c r="V42" i="87"/>
  <c r="V25" i="87"/>
  <c r="X36" i="89"/>
  <c r="X9" i="89"/>
  <c r="X24" i="88"/>
  <c r="X7" i="88"/>
  <c r="V41" i="87"/>
  <c r="V24" i="87"/>
  <c r="V7" i="87"/>
  <c r="X19" i="89"/>
  <c r="X8" i="89"/>
  <c r="F36" i="89"/>
  <c r="F19" i="89"/>
  <c r="X7" i="89"/>
  <c r="X18" i="89"/>
  <c r="V10" i="87"/>
  <c r="X10" i="88"/>
  <c r="F10" i="87"/>
  <c r="H10" i="88"/>
  <c r="X10" i="89"/>
  <c r="V27" i="87"/>
  <c r="V8" i="87"/>
  <c r="F27" i="87"/>
  <c r="X35" i="89"/>
  <c r="V44" i="87"/>
  <c r="F44" i="87"/>
  <c r="X27" i="88"/>
  <c r="H54" i="39"/>
  <c r="H50" i="37"/>
  <c r="H10" i="39"/>
  <c r="H75" i="34"/>
  <c r="H78" i="37"/>
  <c r="H82" i="39"/>
  <c r="C136" i="2"/>
  <c r="X83" i="39"/>
  <c r="X86" i="39"/>
  <c r="F86" i="39"/>
  <c r="X85" i="39"/>
  <c r="S56" i="33"/>
  <c r="X84" i="39"/>
  <c r="S58" i="38"/>
  <c r="F82" i="37"/>
  <c r="X58" i="34"/>
  <c r="S55" i="33"/>
  <c r="F58" i="38"/>
  <c r="V58" i="35"/>
  <c r="F58" i="34"/>
  <c r="X81" i="37"/>
  <c r="U58" i="36"/>
  <c r="F58" i="35"/>
  <c r="S57" i="38"/>
  <c r="X80" i="37"/>
  <c r="H58" i="36"/>
  <c r="X57" i="34"/>
  <c r="S58" i="33"/>
  <c r="V55" i="32"/>
  <c r="X82" i="37"/>
  <c r="U55" i="36"/>
  <c r="V55" i="35"/>
  <c r="S57" i="33"/>
  <c r="V58" i="32"/>
  <c r="X56" i="34"/>
  <c r="X55" i="34"/>
  <c r="U57" i="36"/>
  <c r="F58" i="33"/>
  <c r="U56" i="36"/>
  <c r="F58" i="32"/>
  <c r="V57" i="32"/>
  <c r="V56" i="32"/>
  <c r="V57" i="35"/>
  <c r="V56" i="35"/>
  <c r="H58" i="39"/>
  <c r="H54" i="37"/>
  <c r="C12" i="2"/>
  <c r="C172" i="2"/>
  <c r="X71" i="39"/>
  <c r="X69" i="39"/>
  <c r="X66" i="39"/>
  <c r="X68" i="39"/>
  <c r="X74" i="39"/>
  <c r="X65" i="39"/>
  <c r="X73" i="39"/>
  <c r="X72" i="39"/>
  <c r="S30" i="38"/>
  <c r="X70" i="37"/>
  <c r="X61" i="37"/>
  <c r="U30" i="36"/>
  <c r="X30" i="34"/>
  <c r="S27" i="33"/>
  <c r="F30" i="38"/>
  <c r="X60" i="37"/>
  <c r="H30" i="36"/>
  <c r="V30" i="35"/>
  <c r="F30" i="34"/>
  <c r="F66" i="39"/>
  <c r="X69" i="37"/>
  <c r="X66" i="37"/>
  <c r="X59" i="37"/>
  <c r="U29" i="36"/>
  <c r="F30" i="35"/>
  <c r="X70" i="39"/>
  <c r="S29" i="38"/>
  <c r="X68" i="37"/>
  <c r="U28" i="36"/>
  <c r="X29" i="34"/>
  <c r="S30" i="33"/>
  <c r="X63" i="37"/>
  <c r="F62" i="37"/>
  <c r="V27" i="35"/>
  <c r="S29" i="33"/>
  <c r="S27" i="38"/>
  <c r="X67" i="37"/>
  <c r="X67" i="39"/>
  <c r="U27" i="36"/>
  <c r="V29" i="32"/>
  <c r="V28" i="32"/>
  <c r="X65" i="37"/>
  <c r="V27" i="32"/>
  <c r="X64" i="39"/>
  <c r="X64" i="37"/>
  <c r="F30" i="33"/>
  <c r="S28" i="38"/>
  <c r="V28" i="35"/>
  <c r="X27" i="34"/>
  <c r="F30" i="32"/>
  <c r="V29" i="35"/>
  <c r="X28" i="34"/>
  <c r="S28" i="33"/>
  <c r="V30" i="32"/>
  <c r="X63" i="39"/>
  <c r="F62" i="38"/>
  <c r="V62" i="35"/>
  <c r="F62" i="34"/>
  <c r="S61" i="38"/>
  <c r="U62" i="36"/>
  <c r="F62" i="35"/>
  <c r="X61" i="34"/>
  <c r="V59" i="32"/>
  <c r="S60" i="38"/>
  <c r="H62" i="36"/>
  <c r="V61" i="35"/>
  <c r="X60" i="34"/>
  <c r="S62" i="33"/>
  <c r="S59" i="38"/>
  <c r="U61" i="36"/>
  <c r="V60" i="35"/>
  <c r="X59" i="34"/>
  <c r="U60" i="36"/>
  <c r="V59" i="35"/>
  <c r="S61" i="33"/>
  <c r="S62" i="38"/>
  <c r="X62" i="34"/>
  <c r="V61" i="32"/>
  <c r="V62" i="32"/>
  <c r="U59" i="36"/>
  <c r="S59" i="33"/>
  <c r="S60" i="33"/>
  <c r="F62" i="32"/>
  <c r="V60" i="32"/>
  <c r="F27" i="89"/>
  <c r="X18" i="88"/>
  <c r="V52" i="87"/>
  <c r="V35" i="87"/>
  <c r="V18" i="87"/>
  <c r="X26" i="89"/>
  <c r="H18" i="88"/>
  <c r="F52" i="87"/>
  <c r="F35" i="87"/>
  <c r="F18" i="87"/>
  <c r="X25" i="89"/>
  <c r="X35" i="88"/>
  <c r="X24" i="89"/>
  <c r="H35" i="88"/>
  <c r="X17" i="88"/>
  <c r="V51" i="87"/>
  <c r="V34" i="87"/>
  <c r="V17" i="87"/>
  <c r="X34" i="88"/>
  <c r="X16" i="88"/>
  <c r="V50" i="87"/>
  <c r="V33" i="87"/>
  <c r="V16" i="87"/>
  <c r="X27" i="89"/>
  <c r="X32" i="88"/>
  <c r="V49" i="87"/>
  <c r="V15" i="87"/>
  <c r="X15" i="88"/>
  <c r="V32" i="87"/>
  <c r="X33" i="88"/>
  <c r="H62" i="39"/>
  <c r="H58" i="37"/>
  <c r="H66" i="37"/>
  <c r="H70" i="39"/>
  <c r="H86" i="39"/>
  <c r="H82" i="37"/>
  <c r="S55" i="38"/>
  <c r="S23" i="38"/>
  <c r="V24" i="35"/>
  <c r="X23" i="34"/>
  <c r="V23" i="35"/>
  <c r="S25" i="33"/>
  <c r="S24" i="33"/>
  <c r="U26" i="36"/>
  <c r="S26" i="38"/>
  <c r="H26" i="36"/>
  <c r="X26" i="34"/>
  <c r="S24" i="38"/>
  <c r="U23" i="36"/>
  <c r="V25" i="35"/>
  <c r="X24" i="34"/>
  <c r="S26" i="33"/>
  <c r="V26" i="35"/>
  <c r="V26" i="32"/>
  <c r="F26" i="38"/>
  <c r="F26" i="35"/>
  <c r="F26" i="34"/>
  <c r="F26" i="33"/>
  <c r="F26" i="32"/>
  <c r="S25" i="38"/>
  <c r="X25" i="34"/>
  <c r="S23" i="33"/>
  <c r="V25" i="32"/>
  <c r="U25" i="36"/>
  <c r="V24" i="32"/>
  <c r="V23" i="32"/>
  <c r="H66" i="39"/>
  <c r="H62" i="37"/>
  <c r="H22" i="37"/>
  <c r="H26" i="39"/>
  <c r="F18" i="32"/>
  <c r="U24" i="36"/>
  <c r="S56" i="38"/>
  <c r="H46" i="39"/>
  <c r="H42" i="37"/>
  <c r="C217" i="2"/>
  <c r="Q23" i="86"/>
  <c r="Q25" i="86"/>
  <c r="N24" i="84"/>
  <c r="Q24" i="86"/>
  <c r="Q51" i="85"/>
  <c r="N23" i="84"/>
  <c r="D51" i="85"/>
  <c r="Q50" i="85"/>
  <c r="Q26" i="85"/>
  <c r="Q49" i="85"/>
  <c r="D26" i="85"/>
  <c r="Q48" i="85"/>
  <c r="Q25" i="85"/>
  <c r="N26" i="84"/>
  <c r="Q26" i="86"/>
  <c r="D26" i="86"/>
  <c r="D26" i="84"/>
  <c r="Q24" i="85"/>
  <c r="N25" i="84"/>
  <c r="Q23" i="85"/>
  <c r="X37" i="39"/>
  <c r="X41" i="39"/>
  <c r="X38" i="39"/>
  <c r="F34" i="38"/>
  <c r="H34" i="36"/>
  <c r="V34" i="35"/>
  <c r="F34" i="34"/>
  <c r="X42" i="39"/>
  <c r="S33" i="38"/>
  <c r="X37" i="37"/>
  <c r="X34" i="37"/>
  <c r="U33" i="36"/>
  <c r="F34" i="35"/>
  <c r="X33" i="34"/>
  <c r="X40" i="39"/>
  <c r="F38" i="39"/>
  <c r="S32" i="38"/>
  <c r="X36" i="37"/>
  <c r="U32" i="36"/>
  <c r="V33" i="35"/>
  <c r="X32" i="34"/>
  <c r="S34" i="33"/>
  <c r="X39" i="39"/>
  <c r="S31" i="38"/>
  <c r="X35" i="37"/>
  <c r="F34" i="37"/>
  <c r="U31" i="36"/>
  <c r="V32" i="35"/>
  <c r="X36" i="39"/>
  <c r="V31" i="35"/>
  <c r="S33" i="33"/>
  <c r="S34" i="38"/>
  <c r="X38" i="37"/>
  <c r="X31" i="37"/>
  <c r="U34" i="36"/>
  <c r="X34" i="34"/>
  <c r="S32" i="33"/>
  <c r="V31" i="32"/>
  <c r="S31" i="33"/>
  <c r="X33" i="37"/>
  <c r="X31" i="34"/>
  <c r="X32" i="37"/>
  <c r="V34" i="32"/>
  <c r="X35" i="39"/>
  <c r="F34" i="33"/>
  <c r="V32" i="32"/>
  <c r="F34" i="32"/>
  <c r="V33" i="32"/>
  <c r="H70" i="37"/>
  <c r="H74" i="39"/>
  <c r="C53" i="2"/>
  <c r="O14" i="92"/>
  <c r="O11" i="91"/>
  <c r="O13" i="92"/>
  <c r="O39" i="91"/>
  <c r="O36" i="91"/>
  <c r="O13" i="91"/>
  <c r="D14" i="90"/>
  <c r="L13" i="90"/>
  <c r="D14" i="92"/>
  <c r="O14" i="91"/>
  <c r="L12" i="90"/>
  <c r="O12" i="92"/>
  <c r="D14" i="91"/>
  <c r="L11" i="90"/>
  <c r="O11" i="92"/>
  <c r="D39" i="91"/>
  <c r="O12" i="91"/>
  <c r="O38" i="91"/>
  <c r="O37" i="91"/>
  <c r="L14" i="90"/>
  <c r="S36" i="38"/>
  <c r="U36" i="36"/>
  <c r="V37" i="35"/>
  <c r="X36" i="34"/>
  <c r="F22" i="39"/>
  <c r="S35" i="38"/>
  <c r="X17" i="37"/>
  <c r="U35" i="36"/>
  <c r="V36" i="35"/>
  <c r="X35" i="34"/>
  <c r="F38" i="33"/>
  <c r="X16" i="37"/>
  <c r="V35" i="35"/>
  <c r="S37" i="33"/>
  <c r="X21" i="39"/>
  <c r="X15" i="37"/>
  <c r="X20" i="39"/>
  <c r="S35" i="33"/>
  <c r="X22" i="39"/>
  <c r="S37" i="38"/>
  <c r="F18" i="37"/>
  <c r="U37" i="36"/>
  <c r="F38" i="35"/>
  <c r="X37" i="34"/>
  <c r="F38" i="38"/>
  <c r="X18" i="37"/>
  <c r="U38" i="36"/>
  <c r="S38" i="33"/>
  <c r="V38" i="32"/>
  <c r="H38" i="36"/>
  <c r="S36" i="33"/>
  <c r="F38" i="32"/>
  <c r="V37" i="32"/>
  <c r="S38" i="38"/>
  <c r="V38" i="35"/>
  <c r="X19" i="39"/>
  <c r="X38" i="34"/>
  <c r="V36" i="32"/>
  <c r="H26" i="37"/>
  <c r="H30" i="39"/>
  <c r="H38" i="39"/>
  <c r="H34" i="37"/>
  <c r="V18" i="32"/>
  <c r="V35" i="32"/>
  <c r="S22" i="38"/>
  <c r="X29" i="88"/>
  <c r="X11" i="88"/>
  <c r="V45" i="87"/>
  <c r="V28" i="87"/>
  <c r="V11" i="87"/>
  <c r="X28" i="88"/>
  <c r="X23" i="89"/>
  <c r="F23" i="89"/>
  <c r="X22" i="89"/>
  <c r="X14" i="88"/>
  <c r="V48" i="87"/>
  <c r="V31" i="87"/>
  <c r="V14" i="87"/>
  <c r="X21" i="89"/>
  <c r="X31" i="88"/>
  <c r="H14" i="88"/>
  <c r="F48" i="87"/>
  <c r="F31" i="87"/>
  <c r="F14" i="87"/>
  <c r="V30" i="87"/>
  <c r="V29" i="87"/>
  <c r="H31" i="88"/>
  <c r="X30" i="88"/>
  <c r="V47" i="87"/>
  <c r="X20" i="89"/>
  <c r="V46" i="87"/>
  <c r="V13" i="87"/>
  <c r="X13" i="88"/>
  <c r="X12" i="88"/>
  <c r="V12" i="87"/>
  <c r="C27" i="2"/>
  <c r="S64" i="38"/>
  <c r="H66" i="36"/>
  <c r="V65" i="35"/>
  <c r="X64" i="34"/>
  <c r="F66" i="33"/>
  <c r="S63" i="38"/>
  <c r="U65" i="36"/>
  <c r="V64" i="35"/>
  <c r="X63" i="34"/>
  <c r="U64" i="36"/>
  <c r="V63" i="35"/>
  <c r="S65" i="33"/>
  <c r="U63" i="36"/>
  <c r="S66" i="38"/>
  <c r="X66" i="34"/>
  <c r="S63" i="33"/>
  <c r="S65" i="38"/>
  <c r="U66" i="36"/>
  <c r="X65" i="34"/>
  <c r="S66" i="33"/>
  <c r="V63" i="32"/>
  <c r="F66" i="34"/>
  <c r="S64" i="33"/>
  <c r="V66" i="32"/>
  <c r="V66" i="35"/>
  <c r="F66" i="32"/>
  <c r="V64" i="32"/>
  <c r="F66" i="38"/>
  <c r="V65" i="32"/>
  <c r="C236" i="2"/>
  <c r="O17" i="92"/>
  <c r="O43" i="91"/>
  <c r="O15" i="92"/>
  <c r="O42" i="91"/>
  <c r="O18" i="91"/>
  <c r="O18" i="92"/>
  <c r="O15" i="91"/>
  <c r="L16" i="90"/>
  <c r="L15" i="90"/>
  <c r="D18" i="91"/>
  <c r="D18" i="92"/>
  <c r="O17" i="91"/>
  <c r="O16" i="92"/>
  <c r="D43" i="91"/>
  <c r="O16" i="91"/>
  <c r="L18" i="90"/>
  <c r="O41" i="91"/>
  <c r="O40" i="91"/>
  <c r="D18" i="90"/>
  <c r="L17" i="90"/>
  <c r="X59" i="39"/>
  <c r="X57" i="39"/>
  <c r="X54" i="39"/>
  <c r="X47" i="39"/>
  <c r="X56" i="39"/>
  <c r="X52" i="39"/>
  <c r="X62" i="39"/>
  <c r="X51" i="39"/>
  <c r="F50" i="39"/>
  <c r="S8" i="38"/>
  <c r="X48" i="37"/>
  <c r="V9" i="35"/>
  <c r="X8" i="34"/>
  <c r="X55" i="39"/>
  <c r="S7" i="38"/>
  <c r="X58" i="37"/>
  <c r="X47" i="37"/>
  <c r="F46" i="37"/>
  <c r="V8" i="35"/>
  <c r="X7" i="34"/>
  <c r="X50" i="39"/>
  <c r="V7" i="35"/>
  <c r="X61" i="39"/>
  <c r="X57" i="37"/>
  <c r="X54" i="37"/>
  <c r="X45" i="37"/>
  <c r="U10" i="36"/>
  <c r="X60" i="39"/>
  <c r="X49" i="39"/>
  <c r="S10" i="38"/>
  <c r="X56" i="37"/>
  <c r="X44" i="37"/>
  <c r="H10" i="36"/>
  <c r="X10" i="34"/>
  <c r="S7" i="33"/>
  <c r="X58" i="39"/>
  <c r="S9" i="38"/>
  <c r="X51" i="37"/>
  <c r="X49" i="37"/>
  <c r="X46" i="37"/>
  <c r="U7" i="36"/>
  <c r="X9" i="34"/>
  <c r="S10" i="33"/>
  <c r="X50" i="37"/>
  <c r="U9" i="36"/>
  <c r="V10" i="32"/>
  <c r="U8" i="36"/>
  <c r="F10" i="32"/>
  <c r="X53" i="39"/>
  <c r="X55" i="37"/>
  <c r="F10" i="34"/>
  <c r="F10" i="33"/>
  <c r="V9" i="32"/>
  <c r="F10" i="38"/>
  <c r="X52" i="37"/>
  <c r="X43" i="37"/>
  <c r="F10" i="35"/>
  <c r="S8" i="33"/>
  <c r="V10" i="35"/>
  <c r="X48" i="39"/>
  <c r="X53" i="37"/>
  <c r="V39" i="35"/>
  <c r="S40" i="33"/>
  <c r="V42" i="32"/>
  <c r="S39" i="33"/>
  <c r="S42" i="38"/>
  <c r="U42" i="36"/>
  <c r="F42" i="38"/>
  <c r="H42" i="36"/>
  <c r="V42" i="35"/>
  <c r="F42" i="34"/>
  <c r="V40" i="32"/>
  <c r="S39" i="38"/>
  <c r="U39" i="36"/>
  <c r="V40" i="35"/>
  <c r="X39" i="34"/>
  <c r="F42" i="33"/>
  <c r="U40" i="36"/>
  <c r="X42" i="34"/>
  <c r="X41" i="34"/>
  <c r="X40" i="34"/>
  <c r="F42" i="32"/>
  <c r="F42" i="35"/>
  <c r="V41" i="32"/>
  <c r="S41" i="38"/>
  <c r="V41" i="35"/>
  <c r="S42" i="33"/>
  <c r="V39" i="32"/>
  <c r="U41" i="36"/>
  <c r="S41" i="33"/>
  <c r="H34" i="39"/>
  <c r="H30" i="37"/>
  <c r="H42" i="39"/>
  <c r="H38" i="37"/>
  <c r="F62" i="33"/>
  <c r="F66" i="35"/>
  <c r="X79" i="37"/>
  <c r="C96" i="2" l="1"/>
  <c r="Q39" i="31"/>
  <c r="Q66" i="30"/>
  <c r="Q65" i="30"/>
  <c r="Q64" i="30"/>
  <c r="N42" i="29"/>
  <c r="D42" i="29"/>
  <c r="Q42" i="31"/>
  <c r="N41" i="29"/>
  <c r="Q40" i="31"/>
  <c r="D67" i="30"/>
  <c r="N40" i="29"/>
  <c r="N39" i="29"/>
  <c r="Q67" i="30"/>
  <c r="Q41" i="31"/>
  <c r="D42" i="31"/>
  <c r="C13" i="2"/>
  <c r="C173" i="2"/>
  <c r="C54" i="2"/>
  <c r="C218" i="2"/>
  <c r="D30" i="86"/>
  <c r="Q28" i="86"/>
  <c r="Q55" i="85"/>
  <c r="Q27" i="86"/>
  <c r="D55" i="85"/>
  <c r="Q54" i="85"/>
  <c r="Q53" i="85"/>
  <c r="N30" i="84"/>
  <c r="Q52" i="85"/>
  <c r="D30" i="84"/>
  <c r="N29" i="84"/>
  <c r="N27" i="84"/>
  <c r="N28" i="84"/>
  <c r="Q30" i="86"/>
  <c r="Q29" i="86"/>
  <c r="C70" i="2"/>
  <c r="C111" i="2"/>
  <c r="O41" i="42"/>
  <c r="D18" i="42"/>
  <c r="O40" i="42"/>
  <c r="O17" i="42"/>
  <c r="L18" i="41"/>
  <c r="O16" i="42"/>
  <c r="D18" i="41"/>
  <c r="O18" i="43"/>
  <c r="O15" i="42"/>
  <c r="L17" i="41"/>
  <c r="D18" i="43"/>
  <c r="L16" i="41"/>
  <c r="O17" i="43"/>
  <c r="O43" i="42"/>
  <c r="L15" i="41"/>
  <c r="D43" i="42"/>
  <c r="O18" i="42"/>
  <c r="O42" i="42"/>
  <c r="O16" i="43"/>
  <c r="O15" i="43"/>
  <c r="C237" i="2"/>
  <c r="O19" i="92"/>
  <c r="O46" i="91"/>
  <c r="O22" i="91"/>
  <c r="O44" i="91"/>
  <c r="O21" i="91"/>
  <c r="O21" i="92"/>
  <c r="O47" i="91"/>
  <c r="O45" i="91"/>
  <c r="L22" i="90"/>
  <c r="O22" i="92"/>
  <c r="D22" i="91"/>
  <c r="D22" i="90"/>
  <c r="D22" i="92"/>
  <c r="O20" i="91"/>
  <c r="L21" i="90"/>
  <c r="L20" i="90"/>
  <c r="O20" i="92"/>
  <c r="L19" i="90"/>
  <c r="O19" i="91"/>
  <c r="D47" i="91"/>
  <c r="C137" i="2"/>
  <c r="C28" i="2"/>
  <c r="C112" i="2" l="1"/>
  <c r="O20" i="42"/>
  <c r="D22" i="41"/>
  <c r="O22" i="43"/>
  <c r="O19" i="42"/>
  <c r="L21" i="41"/>
  <c r="D22" i="43"/>
  <c r="L20" i="41"/>
  <c r="O21" i="43"/>
  <c r="O47" i="42"/>
  <c r="L19" i="41"/>
  <c r="O20" i="43"/>
  <c r="D47" i="42"/>
  <c r="O19" i="43"/>
  <c r="O46" i="42"/>
  <c r="O22" i="42"/>
  <c r="D22" i="42"/>
  <c r="L22" i="41"/>
  <c r="O44" i="42"/>
  <c r="O21" i="42"/>
  <c r="O45" i="42"/>
  <c r="C29" i="2"/>
  <c r="C71" i="2"/>
  <c r="C14" i="2"/>
  <c r="C138" i="2"/>
  <c r="C238" i="2"/>
  <c r="O48" i="91"/>
  <c r="O25" i="91"/>
  <c r="O26" i="92"/>
  <c r="O23" i="91"/>
  <c r="O23" i="92"/>
  <c r="O50" i="91"/>
  <c r="O26" i="91"/>
  <c r="D51" i="91"/>
  <c r="O49" i="91"/>
  <c r="L26" i="90"/>
  <c r="D26" i="90"/>
  <c r="L25" i="90"/>
  <c r="L24" i="90"/>
  <c r="D26" i="92"/>
  <c r="L23" i="90"/>
  <c r="O24" i="91"/>
  <c r="O51" i="91"/>
  <c r="O25" i="92"/>
  <c r="O24" i="92"/>
  <c r="D26" i="91"/>
  <c r="C55" i="2"/>
  <c r="C219" i="2"/>
  <c r="Q32" i="86"/>
  <c r="D59" i="85"/>
  <c r="Q34" i="86"/>
  <c r="Q33" i="86"/>
  <c r="Q59" i="85"/>
  <c r="Q31" i="86"/>
  <c r="Q58" i="85"/>
  <c r="N34" i="84"/>
  <c r="Q57" i="85"/>
  <c r="D34" i="84"/>
  <c r="Q56" i="85"/>
  <c r="N33" i="84"/>
  <c r="N32" i="84"/>
  <c r="N31" i="84"/>
  <c r="D34" i="86"/>
  <c r="C174" i="2"/>
  <c r="C97" i="2"/>
  <c r="N46" i="29"/>
  <c r="D46" i="29"/>
  <c r="Q46" i="31"/>
  <c r="N45" i="29"/>
  <c r="D46" i="31"/>
  <c r="N44" i="29"/>
  <c r="Q45" i="31"/>
  <c r="N43" i="29"/>
  <c r="Q44" i="31"/>
  <c r="Q43" i="31"/>
  <c r="C139" i="2" l="1"/>
  <c r="C239" i="2"/>
  <c r="O30" i="92"/>
  <c r="O29" i="92"/>
  <c r="O55" i="91"/>
  <c r="O52" i="91"/>
  <c r="O27" i="92"/>
  <c r="D55" i="91"/>
  <c r="D30" i="90"/>
  <c r="O54" i="91"/>
  <c r="L29" i="90"/>
  <c r="O53" i="91"/>
  <c r="L28" i="90"/>
  <c r="L27" i="90"/>
  <c r="L30" i="90"/>
  <c r="D30" i="92"/>
  <c r="O28" i="92"/>
  <c r="C220" i="2"/>
  <c r="Q61" i="85"/>
  <c r="Q37" i="86"/>
  <c r="D38" i="86"/>
  <c r="D63" i="85"/>
  <c r="D38" i="84"/>
  <c r="Q36" i="86"/>
  <c r="Q62" i="85"/>
  <c r="N37" i="84"/>
  <c r="Q35" i="86"/>
  <c r="Q60" i="85"/>
  <c r="N36" i="84"/>
  <c r="N35" i="84"/>
  <c r="Q38" i="86"/>
  <c r="N38" i="84"/>
  <c r="Q63" i="85"/>
  <c r="C30" i="2"/>
  <c r="C15" i="2"/>
  <c r="C72" i="2"/>
  <c r="C98" i="2"/>
  <c r="Q50" i="31"/>
  <c r="N49" i="29"/>
  <c r="D50" i="31"/>
  <c r="N48" i="29"/>
  <c r="Q49" i="31"/>
  <c r="N47" i="29"/>
  <c r="Q48" i="31"/>
  <c r="Q47" i="31"/>
  <c r="D50" i="29"/>
  <c r="N50" i="29"/>
  <c r="C175" i="2"/>
  <c r="C56" i="2"/>
  <c r="C113" i="2"/>
  <c r="D26" i="43"/>
  <c r="L24" i="41"/>
  <c r="O25" i="43"/>
  <c r="O51" i="42"/>
  <c r="L23" i="41"/>
  <c r="O24" i="43"/>
  <c r="D51" i="42"/>
  <c r="O23" i="43"/>
  <c r="O50" i="42"/>
  <c r="O26" i="42"/>
  <c r="O49" i="42"/>
  <c r="D26" i="42"/>
  <c r="O48" i="42"/>
  <c r="O25" i="42"/>
  <c r="L26" i="41"/>
  <c r="O24" i="42"/>
  <c r="O23" i="42"/>
  <c r="D26" i="41"/>
  <c r="L25" i="41"/>
  <c r="O26" i="43"/>
  <c r="C16" i="2" l="1"/>
  <c r="C221" i="2"/>
  <c r="Q39" i="86"/>
  <c r="D42" i="86"/>
  <c r="Q66" i="85"/>
  <c r="N40" i="84"/>
  <c r="Q41" i="86"/>
  <c r="Q65" i="85"/>
  <c r="N39" i="84"/>
  <c r="Q40" i="86"/>
  <c r="Q64" i="85"/>
  <c r="N42" i="84"/>
  <c r="Q67" i="85"/>
  <c r="D67" i="85"/>
  <c r="D42" i="84"/>
  <c r="Q42" i="86"/>
  <c r="N41" i="84"/>
  <c r="C57" i="2"/>
  <c r="C176" i="2"/>
  <c r="C240" i="2"/>
  <c r="O33" i="92"/>
  <c r="O59" i="91"/>
  <c r="O31" i="92"/>
  <c r="O58" i="91"/>
  <c r="O34" i="92"/>
  <c r="D34" i="92"/>
  <c r="L32" i="90"/>
  <c r="O32" i="92"/>
  <c r="D59" i="91"/>
  <c r="L31" i="90"/>
  <c r="O57" i="91"/>
  <c r="O56" i="91"/>
  <c r="L34" i="90"/>
  <c r="D34" i="90"/>
  <c r="L33" i="90"/>
  <c r="C114" i="2"/>
  <c r="O28" i="43"/>
  <c r="D55" i="42"/>
  <c r="O27" i="43"/>
  <c r="O54" i="42"/>
  <c r="O53" i="42"/>
  <c r="O52" i="42"/>
  <c r="L30" i="41"/>
  <c r="D30" i="41"/>
  <c r="O30" i="43"/>
  <c r="L29" i="41"/>
  <c r="L28" i="41"/>
  <c r="L27" i="41"/>
  <c r="D30" i="43"/>
  <c r="O29" i="43"/>
  <c r="O55" i="42"/>
  <c r="C73" i="2"/>
  <c r="C31" i="2"/>
  <c r="C99" i="2"/>
  <c r="Q53" i="31"/>
  <c r="N51" i="29"/>
  <c r="Q52" i="31"/>
  <c r="Q51" i="31"/>
  <c r="N54" i="29"/>
  <c r="D54" i="31"/>
  <c r="N52" i="29"/>
  <c r="Q54" i="31"/>
  <c r="D54" i="29"/>
  <c r="N53" i="29"/>
  <c r="C140" i="2"/>
  <c r="C115" i="2" l="1"/>
  <c r="O57" i="42"/>
  <c r="O56" i="42"/>
  <c r="L34" i="41"/>
  <c r="D34" i="41"/>
  <c r="O34" i="43"/>
  <c r="L33" i="41"/>
  <c r="D34" i="43"/>
  <c r="L32" i="41"/>
  <c r="O33" i="43"/>
  <c r="O59" i="42"/>
  <c r="L31" i="41"/>
  <c r="O31" i="43"/>
  <c r="D59" i="42"/>
  <c r="O58" i="42"/>
  <c r="O32" i="43"/>
  <c r="C100" i="2"/>
  <c r="Q55" i="31"/>
  <c r="N58" i="29"/>
  <c r="D58" i="29"/>
  <c r="Q58" i="31"/>
  <c r="N57" i="29"/>
  <c r="Q56" i="31"/>
  <c r="D58" i="31"/>
  <c r="Q57" i="31"/>
  <c r="N56" i="29"/>
  <c r="N55" i="29"/>
  <c r="C58" i="2"/>
  <c r="C241" i="2"/>
  <c r="O35" i="92"/>
  <c r="O62" i="91"/>
  <c r="O60" i="91"/>
  <c r="O37" i="92"/>
  <c r="O63" i="91"/>
  <c r="O38" i="92"/>
  <c r="D38" i="92"/>
  <c r="O36" i="92"/>
  <c r="D63" i="91"/>
  <c r="L38" i="90"/>
  <c r="O61" i="91"/>
  <c r="D38" i="90"/>
  <c r="L37" i="90"/>
  <c r="L36" i="90"/>
  <c r="L35" i="90"/>
  <c r="C74" i="2"/>
  <c r="C177" i="2"/>
  <c r="C222" i="2"/>
  <c r="D46" i="86"/>
  <c r="Q45" i="86"/>
  <c r="Q44" i="86"/>
  <c r="Q43" i="86"/>
  <c r="N46" i="84"/>
  <c r="D46" i="84"/>
  <c r="N45" i="84"/>
  <c r="N44" i="84"/>
  <c r="Q46" i="86"/>
  <c r="N43" i="84"/>
  <c r="C32" i="2"/>
  <c r="C141" i="2"/>
  <c r="C17" i="2"/>
  <c r="C75" i="2" l="1"/>
  <c r="C59" i="2"/>
  <c r="C178" i="2"/>
  <c r="C223" i="2"/>
  <c r="Q48" i="86"/>
  <c r="Q47" i="86"/>
  <c r="Q50" i="86"/>
  <c r="D50" i="86"/>
  <c r="N50" i="84"/>
  <c r="Q49" i="86"/>
  <c r="D50" i="84"/>
  <c r="N49" i="84"/>
  <c r="N48" i="84"/>
  <c r="N47" i="84"/>
  <c r="C33" i="2"/>
  <c r="C242" i="2"/>
  <c r="O64" i="91"/>
  <c r="O42" i="92"/>
  <c r="O39" i="92"/>
  <c r="O66" i="91"/>
  <c r="D42" i="92"/>
  <c r="L42" i="90"/>
  <c r="O41" i="92"/>
  <c r="D42" i="90"/>
  <c r="O40" i="92"/>
  <c r="O67" i="91"/>
  <c r="L41" i="90"/>
  <c r="D67" i="91"/>
  <c r="L40" i="90"/>
  <c r="O65" i="91"/>
  <c r="L39" i="90"/>
  <c r="C101" i="2"/>
  <c r="N62" i="29"/>
  <c r="D62" i="29"/>
  <c r="N61" i="29"/>
  <c r="N60" i="29"/>
  <c r="N59" i="29"/>
  <c r="C18" i="2"/>
  <c r="C142" i="2"/>
  <c r="C116" i="2"/>
  <c r="D38" i="41"/>
  <c r="O38" i="43"/>
  <c r="L37" i="41"/>
  <c r="D38" i="43"/>
  <c r="L36" i="41"/>
  <c r="O37" i="43"/>
  <c r="O63" i="42"/>
  <c r="L35" i="41"/>
  <c r="O36" i="43"/>
  <c r="D63" i="42"/>
  <c r="O35" i="43"/>
  <c r="O62" i="42"/>
  <c r="O61" i="42"/>
  <c r="O60" i="42"/>
  <c r="L38" i="41"/>
  <c r="C117" i="2" l="1"/>
  <c r="D42" i="43"/>
  <c r="L40" i="41"/>
  <c r="O41" i="43"/>
  <c r="O67" i="42"/>
  <c r="L39" i="41"/>
  <c r="O40" i="43"/>
  <c r="D67" i="42"/>
  <c r="O39" i="43"/>
  <c r="O66" i="42"/>
  <c r="O65" i="42"/>
  <c r="O64" i="42"/>
  <c r="L42" i="41"/>
  <c r="O42" i="43"/>
  <c r="L41" i="41"/>
  <c r="D42" i="41"/>
  <c r="C60" i="2"/>
  <c r="C243" i="2"/>
  <c r="O46" i="92"/>
  <c r="O45" i="92"/>
  <c r="D46" i="90"/>
  <c r="L45" i="90"/>
  <c r="D46" i="92"/>
  <c r="L44" i="90"/>
  <c r="O44" i="92"/>
  <c r="L43" i="90"/>
  <c r="O43" i="92"/>
  <c r="L46" i="90"/>
  <c r="C143" i="2"/>
  <c r="C224" i="2"/>
  <c r="D54" i="86"/>
  <c r="Q53" i="86"/>
  <c r="D54" i="84"/>
  <c r="N53" i="84"/>
  <c r="N52" i="84"/>
  <c r="Q54" i="86"/>
  <c r="N51" i="84"/>
  <c r="Q52" i="86"/>
  <c r="Q51" i="86"/>
  <c r="N54" i="84"/>
  <c r="C179" i="2"/>
  <c r="C102" i="2"/>
  <c r="N65" i="29"/>
  <c r="N64" i="29"/>
  <c r="N63" i="29"/>
  <c r="D66" i="29"/>
  <c r="N66" i="29"/>
  <c r="C19" i="2"/>
  <c r="C34" i="2"/>
  <c r="C76" i="2"/>
  <c r="C225" i="2" l="1"/>
  <c r="Q58" i="86"/>
  <c r="Q57" i="86"/>
  <c r="Q56" i="86"/>
  <c r="Q55" i="86"/>
  <c r="N56" i="84"/>
  <c r="N55" i="84"/>
  <c r="N58" i="84"/>
  <c r="N57" i="84"/>
  <c r="D58" i="86"/>
  <c r="D58" i="84"/>
  <c r="C244" i="2"/>
  <c r="O49" i="92"/>
  <c r="O47" i="92"/>
  <c r="O50" i="92"/>
  <c r="L48" i="90"/>
  <c r="L47" i="90"/>
  <c r="D50" i="92"/>
  <c r="O48" i="92"/>
  <c r="L50" i="90"/>
  <c r="D50" i="90"/>
  <c r="L49" i="90"/>
  <c r="C77" i="2"/>
  <c r="C103" i="2"/>
  <c r="N67" i="29"/>
  <c r="N70" i="29"/>
  <c r="N68" i="29"/>
  <c r="D70" i="29"/>
  <c r="N69" i="29"/>
  <c r="C20" i="2"/>
  <c r="C144" i="2"/>
  <c r="C180" i="2"/>
  <c r="C61" i="2"/>
  <c r="C35" i="2"/>
  <c r="C118" i="2"/>
  <c r="O44" i="43"/>
  <c r="O43" i="43"/>
  <c r="L46" i="41"/>
  <c r="D46" i="41"/>
  <c r="O46" i="43"/>
  <c r="L45" i="41"/>
  <c r="L44" i="41"/>
  <c r="L43" i="41"/>
  <c r="D46" i="43"/>
  <c r="O45" i="43"/>
  <c r="C104" i="2" l="1"/>
  <c r="N74" i="29"/>
  <c r="D74" i="29"/>
  <c r="N73" i="29"/>
  <c r="N72" i="29"/>
  <c r="N71" i="29"/>
  <c r="C181" i="2"/>
  <c r="C62" i="2"/>
  <c r="C245" i="2"/>
  <c r="O51" i="92"/>
  <c r="O53" i="92"/>
  <c r="L54" i="90"/>
  <c r="O54" i="92"/>
  <c r="D54" i="90"/>
  <c r="D54" i="92"/>
  <c r="L53" i="90"/>
  <c r="O52" i="92"/>
  <c r="L52" i="90"/>
  <c r="L51" i="90"/>
  <c r="C119" i="2"/>
  <c r="L50" i="41"/>
  <c r="D50" i="41"/>
  <c r="O50" i="43"/>
  <c r="L49" i="41"/>
  <c r="D50" i="43"/>
  <c r="L48" i="41"/>
  <c r="O49" i="43"/>
  <c r="L47" i="41"/>
  <c r="O48" i="43"/>
  <c r="O47" i="43"/>
  <c r="C145" i="2"/>
  <c r="C36" i="2"/>
  <c r="C78" i="2"/>
  <c r="C21" i="2"/>
  <c r="C226" i="2"/>
  <c r="N62" i="84"/>
  <c r="D62" i="84"/>
  <c r="N61" i="84"/>
  <c r="N60" i="84"/>
  <c r="N59" i="84"/>
  <c r="C79" i="2" l="1"/>
  <c r="C227" i="2"/>
  <c r="N66" i="84"/>
  <c r="D66" i="84"/>
  <c r="N65" i="84"/>
  <c r="N64" i="84"/>
  <c r="N63" i="84"/>
  <c r="C120" i="2"/>
  <c r="D54" i="41"/>
  <c r="O54" i="43"/>
  <c r="L53" i="41"/>
  <c r="D54" i="43"/>
  <c r="L52" i="41"/>
  <c r="O53" i="43"/>
  <c r="L51" i="41"/>
  <c r="O52" i="43"/>
  <c r="O51" i="43"/>
  <c r="L54" i="41"/>
  <c r="C63" i="2"/>
  <c r="C22" i="2"/>
  <c r="C37" i="2"/>
  <c r="C182" i="2"/>
  <c r="C146" i="2"/>
  <c r="C246" i="2"/>
  <c r="L58" i="90"/>
  <c r="O58" i="92"/>
  <c r="O55" i="92"/>
  <c r="D58" i="90"/>
  <c r="L57" i="90"/>
  <c r="D58" i="92"/>
  <c r="L56" i="90"/>
  <c r="O57" i="92"/>
  <c r="O56" i="92"/>
  <c r="L55" i="90"/>
  <c r="C105" i="2"/>
  <c r="N78" i="29"/>
  <c r="D78" i="29"/>
  <c r="N77" i="29"/>
  <c r="N76" i="29"/>
  <c r="N75" i="29"/>
  <c r="C183" i="2" l="1"/>
  <c r="C64" i="2"/>
  <c r="C247" i="2"/>
  <c r="L61" i="90"/>
  <c r="L62" i="90"/>
  <c r="D62" i="90"/>
  <c r="L60" i="90"/>
  <c r="L59" i="90"/>
  <c r="C228" i="2"/>
  <c r="D70" i="84"/>
  <c r="N69" i="84"/>
  <c r="N68" i="84"/>
  <c r="N67" i="84"/>
  <c r="N70" i="84"/>
  <c r="C121" i="2"/>
  <c r="D58" i="43"/>
  <c r="L56" i="41"/>
  <c r="O57" i="43"/>
  <c r="L55" i="41"/>
  <c r="O56" i="43"/>
  <c r="O55" i="43"/>
  <c r="L58" i="41"/>
  <c r="D58" i="41"/>
  <c r="L57" i="41"/>
  <c r="O58" i="43"/>
  <c r="C106" i="2"/>
  <c r="N81" i="29"/>
  <c r="N80" i="29"/>
  <c r="N79" i="29"/>
  <c r="D82" i="29"/>
  <c r="N82" i="29"/>
  <c r="C147" i="2"/>
  <c r="C23" i="2"/>
  <c r="C38" i="2"/>
  <c r="C80" i="2"/>
  <c r="C107" i="2" l="1"/>
  <c r="N83" i="29"/>
  <c r="N86" i="29"/>
  <c r="N84" i="29"/>
  <c r="D86" i="29"/>
  <c r="N85" i="29"/>
  <c r="C24" i="2"/>
  <c r="C248" i="2"/>
  <c r="L63" i="90"/>
  <c r="L66" i="90"/>
  <c r="D66" i="90"/>
  <c r="L65" i="90"/>
  <c r="L64" i="90"/>
  <c r="C229" i="2"/>
  <c r="N72" i="84"/>
  <c r="N71" i="84"/>
  <c r="N74" i="84"/>
  <c r="D74" i="84"/>
  <c r="N73" i="84"/>
  <c r="C122" i="2"/>
  <c r="L62" i="41"/>
  <c r="D62" i="41"/>
  <c r="L61" i="41"/>
  <c r="L59" i="41"/>
  <c r="L60" i="41"/>
  <c r="C81" i="2"/>
  <c r="C65" i="2"/>
  <c r="C148" i="2"/>
  <c r="C39" i="2"/>
  <c r="C184" i="2"/>
  <c r="C40" i="2" l="1"/>
  <c r="C82" i="2"/>
  <c r="C249" i="2"/>
  <c r="D70" i="90"/>
  <c r="L69" i="90"/>
  <c r="L68" i="90"/>
  <c r="L67" i="90"/>
  <c r="L70" i="90"/>
  <c r="C230" i="2"/>
  <c r="N78" i="84"/>
  <c r="D78" i="84"/>
  <c r="N77" i="84"/>
  <c r="N75" i="84"/>
  <c r="N76" i="84"/>
  <c r="C149" i="2"/>
  <c r="C123" i="2"/>
  <c r="L66" i="41"/>
  <c r="D66" i="41"/>
  <c r="L65" i="41"/>
  <c r="L64" i="41"/>
  <c r="L63" i="41"/>
  <c r="C185" i="2"/>
  <c r="N90" i="29"/>
  <c r="D90" i="29"/>
  <c r="N89" i="29"/>
  <c r="N88" i="29"/>
  <c r="N87" i="29"/>
  <c r="C250" i="2" l="1"/>
  <c r="L74" i="90"/>
  <c r="L73" i="90"/>
  <c r="L72" i="90"/>
  <c r="L71" i="90"/>
  <c r="D74" i="90"/>
  <c r="C186" i="2"/>
  <c r="C150" i="2"/>
  <c r="C83" i="2"/>
  <c r="C124" i="2"/>
  <c r="D70" i="41"/>
  <c r="L69" i="41"/>
  <c r="L68" i="41"/>
  <c r="L67" i="41"/>
  <c r="L70" i="41"/>
  <c r="C231" i="2"/>
  <c r="N82" i="84"/>
  <c r="D82" i="84"/>
  <c r="N81" i="84"/>
  <c r="N80" i="84"/>
  <c r="N79" i="84"/>
  <c r="C41" i="2"/>
  <c r="C84" i="2" l="1"/>
  <c r="C187" i="2"/>
  <c r="C232" i="2"/>
  <c r="D86" i="84"/>
  <c r="N85" i="84"/>
  <c r="N84" i="84"/>
  <c r="N83" i="84"/>
  <c r="N86" i="84"/>
  <c r="C125" i="2"/>
  <c r="L72" i="41"/>
  <c r="L71" i="41"/>
  <c r="L74" i="41"/>
  <c r="D74" i="41"/>
  <c r="L73" i="41"/>
  <c r="C151" i="2"/>
  <c r="C42" i="2"/>
  <c r="C251" i="2"/>
  <c r="L77" i="90"/>
  <c r="L76" i="90"/>
  <c r="L75" i="90"/>
  <c r="L78" i="90"/>
  <c r="D78" i="90"/>
  <c r="C152" i="2" l="1"/>
  <c r="N88" i="84"/>
  <c r="N87" i="84"/>
  <c r="N90" i="84"/>
  <c r="D90" i="84"/>
  <c r="N89" i="84"/>
  <c r="C126" i="2"/>
  <c r="L78" i="41"/>
  <c r="D78" i="41"/>
  <c r="L77" i="41"/>
  <c r="L76" i="41"/>
  <c r="L75" i="41"/>
  <c r="C43" i="2"/>
  <c r="C188" i="2"/>
  <c r="C252" i="2"/>
  <c r="L79" i="90"/>
  <c r="L80" i="90"/>
  <c r="L82" i="90"/>
  <c r="D82" i="90"/>
  <c r="L81" i="90"/>
  <c r="C85" i="2"/>
  <c r="C189" i="2" l="1"/>
  <c r="C44" i="2"/>
  <c r="C127" i="2"/>
  <c r="L82" i="41"/>
  <c r="D82" i="41"/>
  <c r="L81" i="41"/>
  <c r="L80" i="41"/>
  <c r="L79" i="41"/>
  <c r="C253" i="2"/>
  <c r="L86" i="90"/>
  <c r="D86" i="90"/>
  <c r="L85" i="90"/>
  <c r="L83" i="90"/>
  <c r="L84" i="90"/>
  <c r="C86" i="2"/>
  <c r="C153" i="2"/>
  <c r="C45" i="2" l="1"/>
  <c r="C128" i="2"/>
  <c r="D86" i="41"/>
  <c r="L85" i="41"/>
  <c r="L84" i="41"/>
  <c r="L83" i="41"/>
  <c r="L86" i="41"/>
  <c r="C154" i="2"/>
  <c r="L90" i="90"/>
  <c r="L89" i="90"/>
  <c r="D90" i="90"/>
  <c r="L88" i="90"/>
  <c r="L87" i="90"/>
  <c r="C190" i="2"/>
  <c r="L88" i="41" l="1"/>
  <c r="L87" i="41"/>
  <c r="L90" i="41"/>
  <c r="L89" i="41"/>
  <c r="D90" i="41"/>
  <c r="C191" i="2"/>
  <c r="C155" i="2"/>
  <c r="C156" i="2" l="1"/>
  <c r="C192" i="2"/>
  <c r="C193" i="2" l="1"/>
  <c r="C157" i="2"/>
  <c r="C158" i="2" l="1"/>
  <c r="C194" i="2"/>
  <c r="C195" i="2" l="1"/>
  <c r="C159" i="2"/>
  <c r="C196" i="2" l="1"/>
  <c r="C160" i="2"/>
  <c r="C161" i="2" l="1"/>
  <c r="C197" i="2"/>
  <c r="C198" i="2" l="1"/>
  <c r="C162" i="2"/>
  <c r="C163" i="2" l="1"/>
  <c r="C199" i="2"/>
  <c r="C200" i="2" l="1"/>
  <c r="C164" i="2"/>
  <c r="C165" i="2" l="1"/>
  <c r="C201" i="2"/>
  <c r="C202" i="2" l="1"/>
  <c r="C166" i="2"/>
  <c r="C167" i="2" l="1"/>
  <c r="C203" i="2"/>
  <c r="C168" i="2" l="1"/>
  <c r="C204" i="2"/>
  <c r="C205" i="2" l="1"/>
  <c r="C169" i="2"/>
  <c r="C206" i="2" l="1"/>
  <c r="C207" i="2" l="1"/>
  <c r="C208" i="2" l="1"/>
  <c r="C209" i="2" l="1"/>
  <c r="C210" i="2" l="1"/>
  <c r="C211" i="2" l="1"/>
</calcChain>
</file>

<file path=xl/sharedStrings.xml><?xml version="1.0" encoding="utf-8"?>
<sst xmlns="http://schemas.openxmlformats.org/spreadsheetml/2006/main" count="6946" uniqueCount="2796">
  <si>
    <t>11_居宅介護　名前定義</t>
    <phoneticPr fontId="4"/>
  </si>
  <si>
    <t>No.</t>
  </si>
  <si>
    <t>ｆ１２</t>
    <phoneticPr fontId="4"/>
  </si>
  <si>
    <t>単位数</t>
    <rPh sb="0" eb="3">
      <t>タンイスウ</t>
    </rPh>
    <phoneticPr fontId="4"/>
  </si>
  <si>
    <t>_11_A身体０．５</t>
    <phoneticPr fontId="4"/>
  </si>
  <si>
    <t>_11_A身体１．０</t>
    <phoneticPr fontId="1"/>
  </si>
  <si>
    <t>_11_A身体１．５</t>
    <phoneticPr fontId="1"/>
  </si>
  <si>
    <t>_11_A身体２．０</t>
  </si>
  <si>
    <t>_11_A身体２．５</t>
    <phoneticPr fontId="1"/>
  </si>
  <si>
    <t>_11_A身体３．０</t>
  </si>
  <si>
    <t>_11_A身体３．５</t>
  </si>
  <si>
    <t>_11_A身体４．０</t>
  </si>
  <si>
    <t>_11_A身体４．５</t>
  </si>
  <si>
    <t>_11_A身体５．０</t>
  </si>
  <si>
    <t>_11_A身体５．５</t>
  </si>
  <si>
    <t>_11_A身体６．０</t>
  </si>
  <si>
    <t>_11_A身体６．５</t>
  </si>
  <si>
    <t>_11_A身体７．０</t>
  </si>
  <si>
    <t>_11_A身体７．５</t>
  </si>
  <si>
    <t>_11_A身体８．０</t>
  </si>
  <si>
    <t>_11_A身体８．５</t>
  </si>
  <si>
    <t>_11_A身体９．０</t>
  </si>
  <si>
    <t>_11_A身体９．５</t>
  </si>
  <si>
    <t>_11_A身体１０．０</t>
  </si>
  <si>
    <t>_11_A身体１０．５</t>
  </si>
  <si>
    <t>_11_A身体増０．５</t>
    <phoneticPr fontId="4"/>
  </si>
  <si>
    <t>_11_A身体増１．０</t>
  </si>
  <si>
    <t>_11_A身体増１．５</t>
  </si>
  <si>
    <t>_11_A身体増２．０</t>
  </si>
  <si>
    <t>_11_A身体増２．５</t>
  </si>
  <si>
    <t>_11_A身体増３．０</t>
  </si>
  <si>
    <t>_11_A身体増３．５</t>
  </si>
  <si>
    <t>_11_A身体増４．０</t>
  </si>
  <si>
    <t>_11_A身体増４．５</t>
  </si>
  <si>
    <t>_11_A身体増５．０</t>
  </si>
  <si>
    <t>_11_A身体増５．５</t>
  </si>
  <si>
    <t>_11_A身体増６．０</t>
  </si>
  <si>
    <t>_11_A身体増６．５</t>
  </si>
  <si>
    <t>_11_A身体増７．０</t>
  </si>
  <si>
    <t>_11_A身体増７．５</t>
  </si>
  <si>
    <t>_11_A身体増８．０</t>
  </si>
  <si>
    <t>_11_A身体増８．５</t>
  </si>
  <si>
    <t>_11_A身体増９．０</t>
  </si>
  <si>
    <t>_11_A身体増９．５</t>
  </si>
  <si>
    <t>_11_A身体増１０．０</t>
  </si>
  <si>
    <t>_11_A身体増１０．５</t>
  </si>
  <si>
    <t>_11_A重度研修１．０</t>
    <phoneticPr fontId="4"/>
  </si>
  <si>
    <t>_11_A重度研修１．５</t>
    <phoneticPr fontId="4"/>
  </si>
  <si>
    <t>_11_A重度研修２．０</t>
    <phoneticPr fontId="4"/>
  </si>
  <si>
    <t>_11_A重度研修２．５</t>
    <phoneticPr fontId="4"/>
  </si>
  <si>
    <t>_11_A重度研修３．０</t>
    <phoneticPr fontId="4"/>
  </si>
  <si>
    <t>_11_A重度研修３．５</t>
    <phoneticPr fontId="4"/>
  </si>
  <si>
    <t>_11_A重度研修４．０</t>
    <phoneticPr fontId="4"/>
  </si>
  <si>
    <t>_11_A重度研修４．５</t>
    <phoneticPr fontId="4"/>
  </si>
  <si>
    <t>_11_A重度研修５．０</t>
    <phoneticPr fontId="4"/>
  </si>
  <si>
    <t>_11_A重度研修５．５</t>
    <phoneticPr fontId="4"/>
  </si>
  <si>
    <t>_11_A重度研修６．０</t>
    <phoneticPr fontId="4"/>
  </si>
  <si>
    <t>_11_A重度研修６．５</t>
    <phoneticPr fontId="4"/>
  </si>
  <si>
    <t>_11_A重度研修７．０</t>
    <phoneticPr fontId="4"/>
  </si>
  <si>
    <t>_11_A重度研修７．５</t>
    <phoneticPr fontId="4"/>
  </si>
  <si>
    <t>_11_A重度研修８．０</t>
    <phoneticPr fontId="4"/>
  </si>
  <si>
    <t>_11_A重度研修８．５</t>
    <phoneticPr fontId="4"/>
  </si>
  <si>
    <t>_11_A重度研修９．０</t>
    <phoneticPr fontId="4"/>
  </si>
  <si>
    <t>_11_A重度研修９．５</t>
    <phoneticPr fontId="4"/>
  </si>
  <si>
    <t>_11_A重度研修１０．０</t>
    <phoneticPr fontId="4"/>
  </si>
  <si>
    <t>_11_A重度研修１０．５</t>
    <phoneticPr fontId="4"/>
  </si>
  <si>
    <t>_11_A重度研修増０．５</t>
    <phoneticPr fontId="4"/>
  </si>
  <si>
    <t>_11_A重度研修増１．０</t>
    <phoneticPr fontId="1"/>
  </si>
  <si>
    <t>_11_A重度研修増１．５</t>
    <phoneticPr fontId="1"/>
  </si>
  <si>
    <t>_11_A重度研修増２．０</t>
    <phoneticPr fontId="1"/>
  </si>
  <si>
    <t>_11_A重度研修増２．５</t>
    <phoneticPr fontId="1"/>
  </si>
  <si>
    <t>_11_A重度研修増３．０</t>
    <phoneticPr fontId="1"/>
  </si>
  <si>
    <t>_11_A重度研修増３．５</t>
    <phoneticPr fontId="1"/>
  </si>
  <si>
    <t>_11_A重度研修増４．０</t>
    <phoneticPr fontId="1"/>
  </si>
  <si>
    <t>_11_A重度研修増４．５</t>
    <phoneticPr fontId="1"/>
  </si>
  <si>
    <t>_11_A重度研修増５．０</t>
    <phoneticPr fontId="1"/>
  </si>
  <si>
    <t>_11_A重度研修増５．５</t>
    <phoneticPr fontId="1"/>
  </si>
  <si>
    <t>_11_A重度研修増６．０</t>
    <phoneticPr fontId="1"/>
  </si>
  <si>
    <t>_11_A重度研修増６．５</t>
    <phoneticPr fontId="1"/>
  </si>
  <si>
    <t>_11_A重度研修増７．０</t>
    <phoneticPr fontId="1"/>
  </si>
  <si>
    <t>_11_A重度研修増７．５</t>
    <phoneticPr fontId="1"/>
  </si>
  <si>
    <t>_11_A重度研修増８．０</t>
    <phoneticPr fontId="1"/>
  </si>
  <si>
    <t>_11_A重度研修増８．５</t>
    <phoneticPr fontId="1"/>
  </si>
  <si>
    <t>_11_A重度研修増９．０</t>
    <phoneticPr fontId="1"/>
  </si>
  <si>
    <t>_11_A重度研修増９．５</t>
    <phoneticPr fontId="1"/>
  </si>
  <si>
    <t>_11_A重度研修増１０．０</t>
    <phoneticPr fontId="1"/>
  </si>
  <si>
    <t>_11_A重度研修増１０．５</t>
    <phoneticPr fontId="4"/>
  </si>
  <si>
    <t>_11_A通院１０．５</t>
  </si>
  <si>
    <t>_11_A通院１１．０</t>
  </si>
  <si>
    <t>_11_A通院１１．５</t>
  </si>
  <si>
    <t>_11_A通院１２．０</t>
  </si>
  <si>
    <t>_11_A通院１２．５</t>
  </si>
  <si>
    <t>_11_A通院１３．０</t>
  </si>
  <si>
    <t>_11_A通院１３．５</t>
  </si>
  <si>
    <t>_11_A通院１４．０</t>
  </si>
  <si>
    <t>_11_A通院１４．５</t>
  </si>
  <si>
    <t>_11_A通院１５．０</t>
  </si>
  <si>
    <t>_11_A通院１５．５</t>
  </si>
  <si>
    <t>_11_A通院１６．０</t>
  </si>
  <si>
    <t>_11_A通院１６．５</t>
  </si>
  <si>
    <t>_11_A通院１７．０</t>
  </si>
  <si>
    <t>_11_A通院１７．５</t>
  </si>
  <si>
    <t>_11_A通院１８．０</t>
  </si>
  <si>
    <t>_11_A通院１８．５</t>
  </si>
  <si>
    <t>_11_A通院１９．０</t>
  </si>
  <si>
    <t>_11_A通院１９．５</t>
  </si>
  <si>
    <t>_11_A通院１１０．０</t>
  </si>
  <si>
    <t>_11_A通院１１０．５</t>
  </si>
  <si>
    <t>_11_A通院１増０．５</t>
    <phoneticPr fontId="4"/>
  </si>
  <si>
    <t>_11_A通院１増１．０</t>
  </si>
  <si>
    <t>_11_A通院１増１．５</t>
  </si>
  <si>
    <t>_11_A通院１増２．０</t>
  </si>
  <si>
    <t>_11_A通院１増２．５</t>
  </si>
  <si>
    <t>_11_A通院１増３．０</t>
  </si>
  <si>
    <t>_11_A通院１増３．５</t>
  </si>
  <si>
    <t>_11_A通院１増４．０</t>
  </si>
  <si>
    <t>_11_A通院１増４．５</t>
  </si>
  <si>
    <t>_11_A通院１増５．０</t>
  </si>
  <si>
    <t>_11_A通院１増５．５</t>
  </si>
  <si>
    <t>_11_A通院１増６．０</t>
  </si>
  <si>
    <t>_11_A通院１増６．５</t>
  </si>
  <si>
    <t>_11_A通院１増７．０</t>
  </si>
  <si>
    <t>_11_A通院１増７．５</t>
  </si>
  <si>
    <t>_11_A通院１増８．０</t>
  </si>
  <si>
    <t>_11_A通院１増８．５</t>
  </si>
  <si>
    <t>_11_A通院１増９．０</t>
  </si>
  <si>
    <t>_11_A通院１増９．５</t>
  </si>
  <si>
    <t>_11_A通院１増１０．０</t>
  </si>
  <si>
    <t>_11_A通院１増１０．５</t>
  </si>
  <si>
    <t>_11_A家事０．５</t>
  </si>
  <si>
    <t>_11_A家事０．７５</t>
  </si>
  <si>
    <t>_11_A家事１．０</t>
  </si>
  <si>
    <t>_11_A家事１．２５</t>
  </si>
  <si>
    <t>_11_A家事１．５</t>
  </si>
  <si>
    <t>_11_A家事１．７５</t>
  </si>
  <si>
    <t>_11_A家事２．０</t>
  </si>
  <si>
    <t>_11_A家事２．２５</t>
  </si>
  <si>
    <t>_11_A家事２．５</t>
  </si>
  <si>
    <t>_11_A家事２．７５</t>
  </si>
  <si>
    <t>_11_A家事３．０</t>
  </si>
  <si>
    <t>_11_A家事３．２５</t>
  </si>
  <si>
    <t>_11_A家事３．５</t>
  </si>
  <si>
    <t>_11_A家事３．７５</t>
  </si>
  <si>
    <t>_11_A家事４．０</t>
  </si>
  <si>
    <t>_11_A家事４．２５</t>
  </si>
  <si>
    <t>_11_A家事４．５</t>
  </si>
  <si>
    <t>_11_A家事４．７５</t>
  </si>
  <si>
    <t>_11_A家事５．０</t>
  </si>
  <si>
    <t>_11_A家事５．２５</t>
  </si>
  <si>
    <t>_11_A家事５．５</t>
  </si>
  <si>
    <t>_11_A家事５．７５</t>
  </si>
  <si>
    <t>_11_A家事６．０</t>
  </si>
  <si>
    <t>_11_A家事６．２５</t>
  </si>
  <si>
    <t>_11_A家事６．５</t>
  </si>
  <si>
    <t>_11_A家事６．７５</t>
  </si>
  <si>
    <t>_11_A家事７．０</t>
  </si>
  <si>
    <t>_11_A家事７．２５</t>
  </si>
  <si>
    <t>_11_A家事７．５</t>
  </si>
  <si>
    <t>_11_A家事７．７５</t>
  </si>
  <si>
    <t>_11_A家事８．０</t>
  </si>
  <si>
    <t>_11_A家事８．２５</t>
  </si>
  <si>
    <t>_11_A家事８．５</t>
  </si>
  <si>
    <t>_11_A家事８．７５</t>
  </si>
  <si>
    <t>_11_A家事９．０</t>
  </si>
  <si>
    <t>_11_A家事９．２５</t>
  </si>
  <si>
    <t>_11_A家事９．５</t>
  </si>
  <si>
    <t>_11_A家事９．７５</t>
  </si>
  <si>
    <t>_11_A家事１０．０</t>
  </si>
  <si>
    <t>_11_A家事１０．２５</t>
  </si>
  <si>
    <t>_11_A家事１０．５</t>
  </si>
  <si>
    <t>_11_A家事増０．２５</t>
    <phoneticPr fontId="4"/>
  </si>
  <si>
    <t>_11_A家事増０．５</t>
  </si>
  <si>
    <t>_11_A家事増０．７５</t>
  </si>
  <si>
    <t>_11_A家事増１．０</t>
  </si>
  <si>
    <t>_11_A家事増１．２５</t>
  </si>
  <si>
    <t>_11_A家事増１．５</t>
  </si>
  <si>
    <t>_11_A家事増１．７５</t>
  </si>
  <si>
    <t>_11_A家事増２．０</t>
  </si>
  <si>
    <t>_11_A家事増２．２５</t>
  </si>
  <si>
    <t>_11_A家事増２．５</t>
  </si>
  <si>
    <t>_11_A家事増２．７５</t>
  </si>
  <si>
    <t>_11_A家事増３．０</t>
  </si>
  <si>
    <t>_11_A家事増３．２５</t>
  </si>
  <si>
    <t>_11_A家事増３．５</t>
  </si>
  <si>
    <t>_11_A家事増３．７５</t>
  </si>
  <si>
    <t>_11_A家事増４．０</t>
  </si>
  <si>
    <t>_11_A家事増４．２５</t>
  </si>
  <si>
    <t>_11_A家事増４．５</t>
  </si>
  <si>
    <t>_11_A家事増４．７５</t>
  </si>
  <si>
    <t>_11_A家事増５．０</t>
  </si>
  <si>
    <t>_11_A家事増５．２５</t>
  </si>
  <si>
    <t>_11_A家事増５．５</t>
  </si>
  <si>
    <t>_11_A家事増５．７５</t>
  </si>
  <si>
    <t>_11_A家事増６．０</t>
  </si>
  <si>
    <t>_11_A家事増６．２５</t>
  </si>
  <si>
    <t>_11_A家事増６．５</t>
  </si>
  <si>
    <t>_11_A家事増６．７５</t>
  </si>
  <si>
    <t>_11_A家事増７．０</t>
  </si>
  <si>
    <t>_11_A家事増７．２５</t>
  </si>
  <si>
    <t>_11_A家事増７．５</t>
  </si>
  <si>
    <t>_11_A家事増７．７５</t>
  </si>
  <si>
    <t>_11_A家事増８．０</t>
  </si>
  <si>
    <t>_11_A家事増８．２５</t>
  </si>
  <si>
    <t>_11_A家事増８．５</t>
  </si>
  <si>
    <t>_11_A家事増８．７５</t>
  </si>
  <si>
    <t>_11_A家事増９．０</t>
  </si>
  <si>
    <t>_11_A家事増９．２５</t>
  </si>
  <si>
    <t>_11_A家事増９．５</t>
  </si>
  <si>
    <t>_11_A家事増９．７５</t>
  </si>
  <si>
    <t>_11_A家事増１０．０</t>
  </si>
  <si>
    <t>_11_A家事増１０．２５</t>
  </si>
  <si>
    <t>_11_A家事増１０．５</t>
  </si>
  <si>
    <t>_11_A通院２０．５</t>
  </si>
  <si>
    <t>_11_A通院２１．０</t>
  </si>
  <si>
    <t>_11_A通院２１．５</t>
  </si>
  <si>
    <t>_11_A通院２２．０</t>
  </si>
  <si>
    <t>_11_A通院２２．５</t>
  </si>
  <si>
    <t>_11_A通院２３．０</t>
  </si>
  <si>
    <t>_11_A通院２３．５</t>
  </si>
  <si>
    <t>_11_A通院２４．０</t>
  </si>
  <si>
    <t>_11_A通院２４．５</t>
  </si>
  <si>
    <t>_11_A通院２５．０</t>
  </si>
  <si>
    <t>_11_A通院２５．５</t>
  </si>
  <si>
    <t>_11_A通院２６．０</t>
  </si>
  <si>
    <t>_11_A通院２６．５</t>
  </si>
  <si>
    <t>_11_A通院２７．０</t>
  </si>
  <si>
    <t>_11_A通院２７．５</t>
  </si>
  <si>
    <t>_11_A通院２８．０</t>
  </si>
  <si>
    <t>_11_A通院２８．５</t>
  </si>
  <si>
    <t>_11_A通院２９．０</t>
  </si>
  <si>
    <t>_11_A通院２９．５</t>
  </si>
  <si>
    <t>_11_A通院２１０．０</t>
  </si>
  <si>
    <t>_11_A通院２１０．５</t>
  </si>
  <si>
    <t>_11_A通院２増０．５</t>
    <phoneticPr fontId="4"/>
  </si>
  <si>
    <t>_11_A通院２増１．０</t>
  </si>
  <si>
    <t>_11_A通院２増１．５</t>
  </si>
  <si>
    <t>_11_A通院２増２．０</t>
  </si>
  <si>
    <t>_11_A通院２増２．５</t>
  </si>
  <si>
    <t>_11_A通院２増３．０</t>
  </si>
  <si>
    <t>_11_A通院２増３．５</t>
  </si>
  <si>
    <t>_11_A通院２増４．０</t>
  </si>
  <si>
    <t>_11_A通院２増４．５</t>
  </si>
  <si>
    <t>_11_A通院２増５．０</t>
  </si>
  <si>
    <t>_11_A通院２増５．５</t>
  </si>
  <si>
    <t>_11_A通院２増６．０</t>
  </si>
  <si>
    <t>_11_A通院２増６．５</t>
  </si>
  <si>
    <t>_11_A通院２増７．０</t>
  </si>
  <si>
    <t>_11_A通院２増７．５</t>
  </si>
  <si>
    <t>_11_A通院２増８．０</t>
  </si>
  <si>
    <t>_11_A通院２増８．５</t>
  </si>
  <si>
    <t>_11_A通院２増９．０</t>
  </si>
  <si>
    <t>_11_A通院２増９．５</t>
  </si>
  <si>
    <t>_11_A通院２増１０．０</t>
  </si>
  <si>
    <t>_11_A通院２増１０．５</t>
  </si>
  <si>
    <t>_11_B身体０．５＿０．５</t>
    <phoneticPr fontId="4"/>
  </si>
  <si>
    <t>_11_B身体０．５＿１．０</t>
    <phoneticPr fontId="4"/>
  </si>
  <si>
    <t>_11_B身体０．５＿１．５</t>
    <phoneticPr fontId="4"/>
  </si>
  <si>
    <t>_11_B身体０．５＿２．０</t>
    <phoneticPr fontId="4"/>
  </si>
  <si>
    <t>_11_B身体０．５＿２．５</t>
    <phoneticPr fontId="4"/>
  </si>
  <si>
    <t>_11_B身体１．０＿０．５</t>
    <phoneticPr fontId="4"/>
  </si>
  <si>
    <t>_11_B身体１．０＿１．０</t>
    <phoneticPr fontId="4"/>
  </si>
  <si>
    <t>_11_B身体１．０＿１．５</t>
    <phoneticPr fontId="4"/>
  </si>
  <si>
    <t>_11_B身体１．０＿２．０</t>
    <phoneticPr fontId="4"/>
  </si>
  <si>
    <t>_11_B身体１．５＿０．５</t>
    <phoneticPr fontId="4"/>
  </si>
  <si>
    <t>_11_B身体１．５＿１．０</t>
    <phoneticPr fontId="4"/>
  </si>
  <si>
    <t>_11_B身体１．５＿１．５</t>
    <phoneticPr fontId="4"/>
  </si>
  <si>
    <t>_11_B身体２．０＿０．５</t>
    <phoneticPr fontId="4"/>
  </si>
  <si>
    <t>_11_B身体２．０＿１．０</t>
    <phoneticPr fontId="4"/>
  </si>
  <si>
    <t>_11_B身体２．５＿０．５</t>
    <phoneticPr fontId="4"/>
  </si>
  <si>
    <t>_11_B通院１０．５＿０．５</t>
    <phoneticPr fontId="4"/>
  </si>
  <si>
    <t>_11_B通院１０．５＿１．０</t>
    <phoneticPr fontId="4"/>
  </si>
  <si>
    <t>_11_B通院１０．５＿１．５</t>
    <phoneticPr fontId="4"/>
  </si>
  <si>
    <t>_11_B通院１０．５＿２．０</t>
    <phoneticPr fontId="4"/>
  </si>
  <si>
    <t>_11_B通院１０．５＿２．５</t>
    <phoneticPr fontId="4"/>
  </si>
  <si>
    <t>_11_B通院１１．０＿０．５</t>
    <phoneticPr fontId="4"/>
  </si>
  <si>
    <t>_11_B通院１１．０＿１．０</t>
    <phoneticPr fontId="4"/>
  </si>
  <si>
    <t>_11_B通院１１．０＿１．５</t>
    <phoneticPr fontId="4"/>
  </si>
  <si>
    <t>_11_B通院１１．０＿２．０</t>
    <phoneticPr fontId="4"/>
  </si>
  <si>
    <t>_11_B通院１１．５＿０．５</t>
    <phoneticPr fontId="4"/>
  </si>
  <si>
    <t>_11_B通院１１．５＿１．０</t>
    <phoneticPr fontId="4"/>
  </si>
  <si>
    <t>_11_B通院１１．５＿１．５</t>
    <phoneticPr fontId="4"/>
  </si>
  <si>
    <t>_11_B通院１２．０＿０．５</t>
    <phoneticPr fontId="4"/>
  </si>
  <si>
    <t>_11_B通院１２．０＿１．０</t>
    <phoneticPr fontId="4"/>
  </si>
  <si>
    <t>_11_B通院１２．５＿０．５</t>
    <phoneticPr fontId="4"/>
  </si>
  <si>
    <t>_11_B重度研修１．０＿０．５</t>
    <phoneticPr fontId="4"/>
  </si>
  <si>
    <t>_11_B重度研修１．０＿１．０</t>
    <phoneticPr fontId="4"/>
  </si>
  <si>
    <t>_11_B重度研修１．０＿１．５</t>
  </si>
  <si>
    <t>_11_B重度研修１．０＿２．０</t>
  </si>
  <si>
    <t>_11_B重度研修１．５＿０．５</t>
  </si>
  <si>
    <t>_11_B重度研修１．５＿１．０</t>
  </si>
  <si>
    <t>_11_B重度研修１．５＿１．５</t>
  </si>
  <si>
    <t>_11_B重度研修２．０＿０．５</t>
  </si>
  <si>
    <t>_11_B重度研修２．０＿１．０</t>
  </si>
  <si>
    <t>_11_B重度研修２．５＿０．５</t>
  </si>
  <si>
    <t>_11_B家事０．５＿０．２５</t>
  </si>
  <si>
    <t>_11_B家事０．５＿０．５</t>
  </si>
  <si>
    <t>_11_B家事０．５＿０．７５</t>
  </si>
  <si>
    <t>_11_B家事０．５＿１．０</t>
  </si>
  <si>
    <t>_11_B家事０．７５＿０．２５</t>
  </si>
  <si>
    <t>_11_B家事０．７５＿０．５</t>
  </si>
  <si>
    <t>_11_B家事０．７５＿０．７５</t>
  </si>
  <si>
    <t>_11_B家事１．０＿０．２５</t>
  </si>
  <si>
    <t>_11_B家事１．０＿０．５</t>
  </si>
  <si>
    <t>_11_B家事１．２５＿０．２５</t>
  </si>
  <si>
    <t>_11_B通院２０．５＿０．５</t>
  </si>
  <si>
    <t>_11_B通院２０．５＿１．０</t>
  </si>
  <si>
    <t>_11_B通院２１．０＿０．５</t>
  </si>
  <si>
    <t>_11_C身体０．５＿０．５＿０．５</t>
    <phoneticPr fontId="4"/>
  </si>
  <si>
    <t>_11_C身体０．５＿０．５＿１．０</t>
    <phoneticPr fontId="4"/>
  </si>
  <si>
    <t>_11_C身体０．５＿０．５＿１．５</t>
    <phoneticPr fontId="4"/>
  </si>
  <si>
    <t>_11_C身体０．５＿０．５＿２．０</t>
    <phoneticPr fontId="4"/>
  </si>
  <si>
    <t>_11_C身体０．５＿１．０＿０．５</t>
    <phoneticPr fontId="4"/>
  </si>
  <si>
    <t>_11_C身体０．５＿１．０＿１．０</t>
    <phoneticPr fontId="4"/>
  </si>
  <si>
    <t>_11_C身体０．５＿１．０＿１．５</t>
    <phoneticPr fontId="4"/>
  </si>
  <si>
    <t>_11_C身体０．５＿１．５＿０．５</t>
    <phoneticPr fontId="4"/>
  </si>
  <si>
    <t>_11_C身体０．５＿１．５＿１．０</t>
    <phoneticPr fontId="4"/>
  </si>
  <si>
    <t>_11_C身体０．５＿２．０＿０．５</t>
    <phoneticPr fontId="4"/>
  </si>
  <si>
    <t>_11_C身体１．０＿０．５＿０．５</t>
    <phoneticPr fontId="4"/>
  </si>
  <si>
    <t>_11_C身体１．０＿０．５＿１．０</t>
    <phoneticPr fontId="4"/>
  </si>
  <si>
    <t>_11_C身体１．０＿０．５＿１．５</t>
    <phoneticPr fontId="4"/>
  </si>
  <si>
    <t>_11_C身体１．０＿１．０＿０．５</t>
    <phoneticPr fontId="4"/>
  </si>
  <si>
    <t>_11_C身体１．０＿１．０＿１．０</t>
    <phoneticPr fontId="4"/>
  </si>
  <si>
    <t>_11_C身体１．０＿１．５＿０．５</t>
    <phoneticPr fontId="4"/>
  </si>
  <si>
    <t>_11_C身体１．５＿０．５＿０．５</t>
    <phoneticPr fontId="4"/>
  </si>
  <si>
    <t>_11_C身体１．５＿０．５＿１．０</t>
    <phoneticPr fontId="4"/>
  </si>
  <si>
    <t>_11_C身体１．５＿１．０＿０．５</t>
    <phoneticPr fontId="4"/>
  </si>
  <si>
    <t>_11_C身体２．０＿０．５＿０．５</t>
    <phoneticPr fontId="4"/>
  </si>
  <si>
    <t>_11_C通院１０．５＿０．５＿０．５</t>
    <phoneticPr fontId="4"/>
  </si>
  <si>
    <t>_11_C通院１０．５＿０．５＿１．０</t>
    <phoneticPr fontId="4"/>
  </si>
  <si>
    <t>_11_C通院１０．５＿０．５＿１．５</t>
    <phoneticPr fontId="4"/>
  </si>
  <si>
    <t>_11_C通院１０．５＿０．５＿２．０</t>
    <phoneticPr fontId="4"/>
  </si>
  <si>
    <t>_11_C通院１０．５＿１．０＿０．５</t>
    <rPh sb="5" eb="7">
      <t>ツウイン</t>
    </rPh>
    <phoneticPr fontId="4"/>
  </si>
  <si>
    <t>_11_C通院１０．５＿１．０＿１．０</t>
    <phoneticPr fontId="4"/>
  </si>
  <si>
    <t>_11_C通院１０．５＿１．０＿１．５</t>
    <phoneticPr fontId="4"/>
  </si>
  <si>
    <t>_11_C通院１０．５＿１．５＿０．５</t>
    <phoneticPr fontId="4"/>
  </si>
  <si>
    <t>_11_C通院１０．５＿１．５＿１．０</t>
    <phoneticPr fontId="4"/>
  </si>
  <si>
    <t>_11_C通院１０．５＿２．０＿０．５</t>
    <phoneticPr fontId="4"/>
  </si>
  <si>
    <t>_11_C通院１１．０＿０．５＿０．５</t>
    <phoneticPr fontId="4"/>
  </si>
  <si>
    <t>_11_C通院１１．０＿０．５＿１．０</t>
    <phoneticPr fontId="4"/>
  </si>
  <si>
    <t>_11_C通院１１．０＿０．５＿１．５</t>
    <phoneticPr fontId="4"/>
  </si>
  <si>
    <t>_11_C通院１１．０＿１．０＿０．５</t>
    <phoneticPr fontId="4"/>
  </si>
  <si>
    <t>_11_C通院１１．０＿１．０＿１．０</t>
    <phoneticPr fontId="4"/>
  </si>
  <si>
    <t>_11_C通院１１．０＿１．５＿０．５</t>
    <phoneticPr fontId="4"/>
  </si>
  <si>
    <t>_11_C通院１１．５＿０．５＿０．５</t>
    <phoneticPr fontId="4"/>
  </si>
  <si>
    <t>_11_C通院１１．５＿０．５＿１．０</t>
    <phoneticPr fontId="4"/>
  </si>
  <si>
    <t>_11_C通院１１．５＿１．０＿０．５</t>
    <phoneticPr fontId="4"/>
  </si>
  <si>
    <t>_11_C通院１２．０＿０．５＿０．５</t>
    <phoneticPr fontId="4"/>
  </si>
  <si>
    <t>_11_C重度研修１．０＿０．５＿０．５</t>
    <phoneticPr fontId="4"/>
  </si>
  <si>
    <t>_11_C重度研修１．０＿０．５＿１．０</t>
  </si>
  <si>
    <t>_11_C重度研修１．０＿０．５＿１．５</t>
  </si>
  <si>
    <t>_11_C重度研修１．０＿１．０＿０．５</t>
  </si>
  <si>
    <t>_11_C重度研修１．０＿１．０＿１．０</t>
  </si>
  <si>
    <t>_11_C重度研修１．０＿１．５＿０．５</t>
  </si>
  <si>
    <t>_11_C重度研修１．５＿０．５＿０．５</t>
  </si>
  <si>
    <t>_11_C重度研修１．５＿０．５＿１．０</t>
  </si>
  <si>
    <t>_11_C重度研修１．５＿１．０＿０．５</t>
  </si>
  <si>
    <t>_11_C重度研修２．０＿０．５＿０．５</t>
  </si>
  <si>
    <t>_11_C家事０．５＿０．２５＿０．２５</t>
  </si>
  <si>
    <t>_11_C家事０．５＿０．２５＿０．５</t>
  </si>
  <si>
    <t>_11_C家事０．５＿０．２５＿０．７５</t>
  </si>
  <si>
    <t>_11_C家事０．５＿０．５＿０．２５</t>
  </si>
  <si>
    <t>_11_C家事０．５＿０．５＿０．５</t>
  </si>
  <si>
    <t>_11_C家事０．５＿０．７５＿０．２５</t>
  </si>
  <si>
    <t>_11_C家事０．７５＿０．２５＿０．２５</t>
  </si>
  <si>
    <t>_11_C家事０．７５＿０．２５＿０．５</t>
  </si>
  <si>
    <t>_11_C家事０．７５＿０．５＿０．２５</t>
  </si>
  <si>
    <t>_11_C家事１．０＿０．２５＿０．２５</t>
  </si>
  <si>
    <r>
      <t>_11_C</t>
    </r>
    <r>
      <rPr>
        <sz val="11"/>
        <rFont val="ＭＳ Ｐゴシック"/>
        <family val="3"/>
        <charset val="128"/>
        <scheme val="minor"/>
      </rPr>
      <t>通院２０．５＿０．５＿０．５</t>
    </r>
    <phoneticPr fontId="1"/>
  </si>
  <si>
    <t>_11・２人</t>
  </si>
  <si>
    <t>_11・A深夜</t>
  </si>
  <si>
    <t>_11・A早朝</t>
    <phoneticPr fontId="1"/>
  </si>
  <si>
    <t>_11・A夜間</t>
    <phoneticPr fontId="1"/>
  </si>
  <si>
    <t>_11・B深夜</t>
  </si>
  <si>
    <t>_11・B早朝</t>
  </si>
  <si>
    <t>_11・B夜間</t>
  </si>
  <si>
    <t>_11・C深夜</t>
  </si>
  <si>
    <t>_11・C夜間</t>
  </si>
  <si>
    <t>_11・基礎１</t>
    <phoneticPr fontId="4"/>
  </si>
  <si>
    <t>_11・基礎２</t>
    <phoneticPr fontId="4"/>
  </si>
  <si>
    <t>_11・重度研修</t>
    <phoneticPr fontId="4"/>
  </si>
  <si>
    <t>_11・初任</t>
  </si>
  <si>
    <t>_11_A通院乗降</t>
    <phoneticPr fontId="1"/>
  </si>
  <si>
    <t>_11・身拘廃減算</t>
    <phoneticPr fontId="1"/>
  </si>
  <si>
    <t>_11・虐防措減算</t>
    <phoneticPr fontId="1"/>
  </si>
  <si>
    <t>_11・業継計減算</t>
    <rPh sb="4" eb="5">
      <t>ギョウ</t>
    </rPh>
    <rPh sb="5" eb="6">
      <t>ケイ</t>
    </rPh>
    <rPh sb="6" eb="7">
      <t>ケイ</t>
    </rPh>
    <rPh sb="7" eb="9">
      <t>ゲンサン</t>
    </rPh>
    <phoneticPr fontId="1"/>
  </si>
  <si>
    <t>_11・情公減算</t>
    <rPh sb="4" eb="5">
      <t>ジョウ</t>
    </rPh>
    <rPh sb="5" eb="6">
      <t>コウ</t>
    </rPh>
    <rPh sb="6" eb="8">
      <t>ゲンサン</t>
    </rPh>
    <phoneticPr fontId="1"/>
  </si>
  <si>
    <t>サービスコード</t>
  </si>
  <si>
    <t>サービス内容略称</t>
  </si>
  <si>
    <t>算定項目</t>
  </si>
  <si>
    <t>合成</t>
  </si>
  <si>
    <t>算定</t>
  </si>
  <si>
    <t>種類</t>
  </si>
  <si>
    <t>項目</t>
  </si>
  <si>
    <t>単位数</t>
  </si>
  <si>
    <t>単位</t>
  </si>
  <si>
    <t>1回につき</t>
  </si>
  <si>
    <t>２人目の居宅介護従業者による場合</t>
  </si>
  <si>
    <t>×</t>
  </si>
  <si>
    <t>基礎研修課程修了者等により行われる場合</t>
  </si>
  <si>
    <t>早朝の場合</t>
  </si>
  <si>
    <t>単位加算</t>
    <rPh sb="0" eb="2">
      <t>タンイ</t>
    </rPh>
    <phoneticPr fontId="1"/>
  </si>
  <si>
    <t>夜間の場合</t>
  </si>
  <si>
    <t>深夜の場合</t>
  </si>
  <si>
    <t>Ａ</t>
  </si>
  <si>
    <t>Ｂ</t>
  </si>
  <si>
    <t>深夜の場合 Ａ</t>
    <phoneticPr fontId="1"/>
  </si>
  <si>
    <t>早朝の場合 Ｂ</t>
    <phoneticPr fontId="1"/>
  </si>
  <si>
    <t>早朝の場合 Ａ</t>
    <phoneticPr fontId="1"/>
  </si>
  <si>
    <t>夜間の場合 Ａ</t>
    <phoneticPr fontId="1"/>
  </si>
  <si>
    <t>深夜の場合 Ｂ</t>
    <phoneticPr fontId="1"/>
  </si>
  <si>
    <t>１日目</t>
    <phoneticPr fontId="1"/>
  </si>
  <si>
    <t>２日目</t>
    <phoneticPr fontId="1"/>
  </si>
  <si>
    <t>単位</t>
    <phoneticPr fontId="1"/>
  </si>
  <si>
    <t>２日目</t>
    <rPh sb="1" eb="2">
      <t>ニチ</t>
    </rPh>
    <rPh sb="2" eb="3">
      <t>メ</t>
    </rPh>
    <phoneticPr fontId="1"/>
  </si>
  <si>
    <t>１日目</t>
    <rPh sb="1" eb="2">
      <t>ニチ</t>
    </rPh>
    <rPh sb="2" eb="3">
      <t>メ</t>
    </rPh>
    <phoneticPr fontId="1"/>
  </si>
  <si>
    <t>サービスコード</t>
    <phoneticPr fontId="28"/>
  </si>
  <si>
    <t>サービス内容略称</t>
    <rPh sb="4" eb="6">
      <t>ナイヨウ</t>
    </rPh>
    <rPh sb="6" eb="8">
      <t>リャクショウ</t>
    </rPh>
    <phoneticPr fontId="28"/>
  </si>
  <si>
    <t>算定項目</t>
    <phoneticPr fontId="28"/>
  </si>
  <si>
    <t>合成</t>
    <rPh sb="0" eb="2">
      <t>ゴウセイ</t>
    </rPh>
    <phoneticPr fontId="28"/>
  </si>
  <si>
    <t>算定</t>
    <rPh sb="0" eb="2">
      <t>サンテイ</t>
    </rPh>
    <phoneticPr fontId="28"/>
  </si>
  <si>
    <t>種類</t>
    <rPh sb="0" eb="2">
      <t>シュルイ</t>
    </rPh>
    <phoneticPr fontId="28"/>
  </si>
  <si>
    <t>項目</t>
    <rPh sb="0" eb="2">
      <t>コウモク</t>
    </rPh>
    <phoneticPr fontId="28"/>
  </si>
  <si>
    <t>単位加算</t>
    <rPh sb="0" eb="2">
      <t>タンイ</t>
    </rPh>
    <rPh sb="2" eb="4">
      <t>カサン</t>
    </rPh>
    <phoneticPr fontId="28"/>
  </si>
  <si>
    <t>月１回限度</t>
    <rPh sb="0" eb="1">
      <t>ツキ</t>
    </rPh>
    <rPh sb="2" eb="3">
      <t>カイ</t>
    </rPh>
    <rPh sb="3" eb="5">
      <t>ゲンド</t>
    </rPh>
    <phoneticPr fontId="28"/>
  </si>
  <si>
    <t>利用者負担上限額管理加算</t>
    <rPh sb="0" eb="3">
      <t>リヨウシャ</t>
    </rPh>
    <rPh sb="3" eb="5">
      <t>フタン</t>
    </rPh>
    <rPh sb="5" eb="7">
      <t>ジョウゲン</t>
    </rPh>
    <rPh sb="7" eb="8">
      <t>ガク</t>
    </rPh>
    <rPh sb="8" eb="10">
      <t>カンリ</t>
    </rPh>
    <rPh sb="10" eb="12">
      <t>カサン</t>
    </rPh>
    <phoneticPr fontId="28"/>
  </si>
  <si>
    <t>15_同行援護　名前定義</t>
    <rPh sb="3" eb="5">
      <t>ドウコウ</t>
    </rPh>
    <rPh sb="5" eb="7">
      <t>エンゴ</t>
    </rPh>
    <rPh sb="8" eb="10">
      <t>ナマエ</t>
    </rPh>
    <rPh sb="10" eb="12">
      <t>テイギ</t>
    </rPh>
    <phoneticPr fontId="4"/>
  </si>
  <si>
    <t>名前</t>
    <rPh sb="0" eb="2">
      <t>ナマエ</t>
    </rPh>
    <phoneticPr fontId="4"/>
  </si>
  <si>
    <t>_15_同援日０．５</t>
    <phoneticPr fontId="1"/>
  </si>
  <si>
    <t>_15_同援日１．０</t>
  </si>
  <si>
    <t>_15_同援日１．５</t>
  </si>
  <si>
    <t>_15_同援日２．０</t>
  </si>
  <si>
    <t>_15_同援日２．５</t>
  </si>
  <si>
    <t>_15_同援日３．０</t>
  </si>
  <si>
    <t>_15_同援日３．５</t>
  </si>
  <si>
    <t>_15_同援日４．０</t>
  </si>
  <si>
    <t>_15_同援日４．５</t>
  </si>
  <si>
    <t>_15_同援日５．０</t>
  </si>
  <si>
    <t>_15_同援日５．５</t>
  </si>
  <si>
    <t>_15_同援日６．０</t>
  </si>
  <si>
    <t>_15_同援日６．５</t>
  </si>
  <si>
    <t>_15_同援日７．０</t>
  </si>
  <si>
    <t>_15_同援日７．５</t>
  </si>
  <si>
    <t>_15_同援日８．０</t>
  </si>
  <si>
    <t>_15_同援日８．５</t>
  </si>
  <si>
    <t>_15_同援日９．０</t>
  </si>
  <si>
    <t>_15_同援日９．５</t>
  </si>
  <si>
    <t>_15_同援日１０．０</t>
  </si>
  <si>
    <t>_15_同援日１０．５</t>
  </si>
  <si>
    <t>_15_同援日増０．５</t>
    <phoneticPr fontId="4"/>
  </si>
  <si>
    <t>_15_同援日増１．０</t>
  </si>
  <si>
    <t>_15_同援日増１．５</t>
  </si>
  <si>
    <t>_15_同援日増２．０</t>
  </si>
  <si>
    <t>_15_同援日増２．５</t>
  </si>
  <si>
    <t>_15_同援日増３．０</t>
  </si>
  <si>
    <t>_15_同援日増３．５</t>
  </si>
  <si>
    <t>_15_同援日増４．０</t>
  </si>
  <si>
    <t>_15_同援日増４．５</t>
  </si>
  <si>
    <t>_15_同援日増５．０</t>
  </si>
  <si>
    <t>_15_同援日増５．５</t>
  </si>
  <si>
    <t>_15_同援日増６．０</t>
  </si>
  <si>
    <t>_15_同援日増６．５</t>
  </si>
  <si>
    <t>_15_同援日増７．０</t>
  </si>
  <si>
    <t>_15_同援日増７．５</t>
  </si>
  <si>
    <t>_15_同援日増８．０</t>
  </si>
  <si>
    <t>_15_同援日増８．５</t>
  </si>
  <si>
    <t>_15_同援日増９．０</t>
  </si>
  <si>
    <t>_15_同援日増９．５</t>
  </si>
  <si>
    <t>_15_同援日増１０．０</t>
  </si>
  <si>
    <t>_15_同援日増１０．５</t>
  </si>
  <si>
    <t>_15_同援日０．５＿０．５</t>
    <phoneticPr fontId="1"/>
  </si>
  <si>
    <t>_15_同援日０．５＿１．０</t>
  </si>
  <si>
    <t>_15_同援日０．５＿１．５</t>
  </si>
  <si>
    <t>_15_同援日０．５＿２．０</t>
    <phoneticPr fontId="1"/>
  </si>
  <si>
    <t>_15_同援日０．５＿２．５</t>
  </si>
  <si>
    <t>_15_同援日１．０＿０．５</t>
    <phoneticPr fontId="1"/>
  </si>
  <si>
    <t>_15_同援日１．０＿１．０</t>
  </si>
  <si>
    <t>_15_同援日１．０＿１．５</t>
  </si>
  <si>
    <t>_15_同援日１．０＿２．０</t>
  </si>
  <si>
    <t>_15_同援日１．５＿０．５</t>
  </si>
  <si>
    <t>_15_同援日１．５＿１．０</t>
  </si>
  <si>
    <t>_15_同援日１．５＿１．５</t>
  </si>
  <si>
    <t>_15_同援日２．０＿０．５</t>
    <phoneticPr fontId="1"/>
  </si>
  <si>
    <t>_15_同援日２．０＿１．０</t>
  </si>
  <si>
    <t>_15_同援日２．５＿０．５</t>
  </si>
  <si>
    <t>_15_同援日０．５＿０．５＿０．５</t>
    <phoneticPr fontId="1"/>
  </si>
  <si>
    <t>_15_同援日０．５＿０．５＿１．０</t>
  </si>
  <si>
    <t>_15_同援日０．５＿０．５＿１．５</t>
  </si>
  <si>
    <t>_15_同援日０．５＿０．５＿２．０</t>
  </si>
  <si>
    <t>_15_同援日０．５＿１．０＿０．５</t>
    <phoneticPr fontId="1"/>
  </si>
  <si>
    <t>_15_同援日０．５＿１．０＿１．０</t>
    <phoneticPr fontId="1"/>
  </si>
  <si>
    <t>_15_同援日０．５＿１．０＿１．５</t>
  </si>
  <si>
    <t>_15_同援日０．５＿１．５＿０．５</t>
    <phoneticPr fontId="1"/>
  </si>
  <si>
    <t>_15_同援日０．５＿１．５＿１．０</t>
    <phoneticPr fontId="1"/>
  </si>
  <si>
    <t>_15_同援日０．５＿２．０＿０．５</t>
    <phoneticPr fontId="1"/>
  </si>
  <si>
    <t>_15_同援日１．０＿０．５＿０．５</t>
    <phoneticPr fontId="1"/>
  </si>
  <si>
    <t>_15_同援日１．０＿０．５＿１．０</t>
  </si>
  <si>
    <t>_15_同援日１．０＿０．５＿１．５</t>
  </si>
  <si>
    <t>_15_同援日１．０＿１．０＿０．５</t>
    <phoneticPr fontId="1"/>
  </si>
  <si>
    <t>_15_同援日１．０＿１．０＿１．０</t>
  </si>
  <si>
    <t>_15_同援日１．０＿１．５＿０．５</t>
    <phoneticPr fontId="1"/>
  </si>
  <si>
    <t>_15_同援日１．５＿０．５＿０．５</t>
    <phoneticPr fontId="1"/>
  </si>
  <si>
    <t>_15_同援日１．５＿０．５＿１．０</t>
  </si>
  <si>
    <t>_15_同援日１．５＿１．０＿０．５</t>
    <phoneticPr fontId="1"/>
  </si>
  <si>
    <t>_15_同援日２．０＿０．５＿０．５</t>
    <phoneticPr fontId="1"/>
  </si>
  <si>
    <t>_15・基礎２</t>
  </si>
  <si>
    <t>_15・通訳</t>
  </si>
  <si>
    <t>_15・２人</t>
  </si>
  <si>
    <t>_15・A深夜</t>
  </si>
  <si>
    <t>_15・A早朝</t>
  </si>
  <si>
    <t>_15・A夜間</t>
  </si>
  <si>
    <t>_15・B深夜</t>
  </si>
  <si>
    <t>_15・B早朝</t>
  </si>
  <si>
    <t>_15・B夜間</t>
  </si>
  <si>
    <t>_15・C深夜</t>
  </si>
  <si>
    <t>_15・C夜間</t>
  </si>
  <si>
    <t>_15・盲ろう</t>
  </si>
  <si>
    <t>_15・区３</t>
  </si>
  <si>
    <t>_15・区４</t>
  </si>
  <si>
    <t>移動支援サービスコード表（令和6年4月～）</t>
    <rPh sb="0" eb="4">
      <t>イドウシエン</t>
    </rPh>
    <rPh sb="11" eb="12">
      <t>ヒョウ</t>
    </rPh>
    <rPh sb="13" eb="15">
      <t>レイワ</t>
    </rPh>
    <rPh sb="16" eb="17">
      <t>ネン</t>
    </rPh>
    <rPh sb="18" eb="19">
      <t>ツキ</t>
    </rPh>
    <phoneticPr fontId="1"/>
  </si>
  <si>
    <t>ロ　移動支援（身体介護を伴う場合）　（日中のみ）</t>
    <rPh sb="2" eb="4">
      <t>イドウ</t>
    </rPh>
    <rPh sb="4" eb="6">
      <t>シエン</t>
    </rPh>
    <phoneticPr fontId="1"/>
  </si>
  <si>
    <t>身体あり日０．５</t>
  </si>
  <si>
    <t>身体あり日０．５・２人</t>
  </si>
  <si>
    <t>身体あり日０．５・基</t>
  </si>
  <si>
    <t>身体あり日０．５・基・２人</t>
  </si>
  <si>
    <t>身体あり日１．０</t>
  </si>
  <si>
    <t>身体あり日１．０・２人</t>
  </si>
  <si>
    <t>身体あり日１．０・基</t>
  </si>
  <si>
    <t>身体あり日１．０・基・２人</t>
  </si>
  <si>
    <t>身体あり日１．５</t>
  </si>
  <si>
    <t>身体あり日１．５・２人</t>
  </si>
  <si>
    <t>身体あり日１．５・基</t>
  </si>
  <si>
    <t>身体あり日１．５・基・２人</t>
  </si>
  <si>
    <t>身体あり日２．０</t>
  </si>
  <si>
    <t>身体あり日２．０・２人</t>
  </si>
  <si>
    <t>身体あり日２．０・基</t>
  </si>
  <si>
    <t>身体あり日２．０・基・２人</t>
  </si>
  <si>
    <t>身体あり日２．５</t>
  </si>
  <si>
    <t>身体あり日２．５・２人</t>
  </si>
  <si>
    <t>身体あり日２．５・基</t>
  </si>
  <si>
    <t>身体あり日２．５・基・２人</t>
  </si>
  <si>
    <t>身体あり日３．０</t>
  </si>
  <si>
    <t>身体あり日３．０・２人</t>
  </si>
  <si>
    <t>身体あり日３．０・基</t>
  </si>
  <si>
    <t>身体あり日３．０・基・２人</t>
  </si>
  <si>
    <t>身体あり日３．５</t>
  </si>
  <si>
    <t>身体あり日３．５・２人</t>
  </si>
  <si>
    <t>身体あり日３．５・基</t>
  </si>
  <si>
    <t>身体あり日３．５・基・２人</t>
  </si>
  <si>
    <t>身体あり日４．０</t>
  </si>
  <si>
    <t>身体あり日４．０・２人</t>
  </si>
  <si>
    <t>身体あり日４．０・基</t>
  </si>
  <si>
    <t>身体あり日４．０・基・２人</t>
  </si>
  <si>
    <t>身体あり日４．５</t>
  </si>
  <si>
    <t>身体あり日４．５・２人</t>
  </si>
  <si>
    <t>身体あり日４．５・基</t>
  </si>
  <si>
    <t>身体あり日４．５・基・２人</t>
  </si>
  <si>
    <t>身体あり日５．０</t>
  </si>
  <si>
    <t>身体あり日５．０・２人</t>
  </si>
  <si>
    <t>身体あり日５．０・基</t>
  </si>
  <si>
    <t>身体あり日５．０・基・２人</t>
  </si>
  <si>
    <t>身体あり日５．５</t>
  </si>
  <si>
    <t>身体あり日５．５・２人</t>
  </si>
  <si>
    <t>身体あり日５．５・基</t>
  </si>
  <si>
    <t>身体あり日５．５・基・２人</t>
  </si>
  <si>
    <t>身体あり日６．０</t>
  </si>
  <si>
    <t>身体あり日６．０・２人</t>
  </si>
  <si>
    <t>身体あり日６．０・基</t>
  </si>
  <si>
    <t>身体あり日６．０・基・２人</t>
  </si>
  <si>
    <t>身体あり日６．５</t>
  </si>
  <si>
    <t>身体あり日６．５・２人</t>
  </si>
  <si>
    <t>身体あり日６．５・基</t>
  </si>
  <si>
    <t>身体あり日６．５・基・２人</t>
  </si>
  <si>
    <t>身体あり日７．０</t>
  </si>
  <si>
    <t>身体あり日７．０・２人</t>
  </si>
  <si>
    <t>身体あり日７．０・基</t>
  </si>
  <si>
    <t>身体あり日７．０・基・２人</t>
  </si>
  <si>
    <t>身体あり日７．５</t>
  </si>
  <si>
    <t>身体あり日７．５・２人</t>
  </si>
  <si>
    <t>身体あり日７．５・基</t>
  </si>
  <si>
    <t>身体あり日７．５・基・２人</t>
  </si>
  <si>
    <t>身体あり日８．０</t>
  </si>
  <si>
    <t>身体あり日８．０・２人</t>
  </si>
  <si>
    <t>身体あり日８．０・基</t>
  </si>
  <si>
    <t>身体あり日８．０・基・２人</t>
  </si>
  <si>
    <t>身体あり日８．５</t>
  </si>
  <si>
    <t>身体あり日８．５・２人</t>
  </si>
  <si>
    <t>身体あり日８．５・基</t>
  </si>
  <si>
    <t>身体あり日８．５・基・２人</t>
  </si>
  <si>
    <t>身体あり日９．０</t>
  </si>
  <si>
    <t>身体あり日９．０・２人</t>
  </si>
  <si>
    <t>身体あり日９．０・基</t>
  </si>
  <si>
    <t>身体あり日９．０・基・２人</t>
  </si>
  <si>
    <t>身体あり日９．５</t>
  </si>
  <si>
    <t>身体あり日９．５・２人</t>
  </si>
  <si>
    <t>身体あり日９．５・基</t>
  </si>
  <si>
    <t>身体あり日９．５・基・２人</t>
  </si>
  <si>
    <t>身体あり日１０．０</t>
  </si>
  <si>
    <t>身体あり日１０．０・２人</t>
  </si>
  <si>
    <t>身体あり日１０．０・基</t>
  </si>
  <si>
    <t>身体あり日１０．０・基・２人</t>
  </si>
  <si>
    <t>身体あり日１０．５</t>
  </si>
  <si>
    <t>身体あり日１０．５・２人</t>
  </si>
  <si>
    <t>身体あり日１０．５・基</t>
  </si>
  <si>
    <t>身体あり日１０．５・基・２人</t>
  </si>
  <si>
    <t>ロ　移動支援（身体介護を伴う場合）　（早朝のみ）</t>
    <phoneticPr fontId="1"/>
  </si>
  <si>
    <t>ロ　移動支援（身体介護を伴う場合）　（夜間のみ）</t>
    <phoneticPr fontId="1"/>
  </si>
  <si>
    <t>身体あり早０．５</t>
  </si>
  <si>
    <t>身体あり早０．５・２人</t>
  </si>
  <si>
    <t>身体あり早０．５・基</t>
  </si>
  <si>
    <t>身体あり早０．５・基・２人</t>
  </si>
  <si>
    <t>身体あり早１．０</t>
  </si>
  <si>
    <t>身体あり早１．０・２人</t>
  </si>
  <si>
    <t>身体あり早１．０・基</t>
  </si>
  <si>
    <t>身体あり早１．０・基・２人</t>
  </si>
  <si>
    <t>身体あり早１．５</t>
  </si>
  <si>
    <t>身体あり早１．５・２人</t>
  </si>
  <si>
    <t>身体あり早１．５・基</t>
  </si>
  <si>
    <t>身体あり早１．５・基・２人</t>
  </si>
  <si>
    <t>身体あり早２．０</t>
  </si>
  <si>
    <t>身体あり早２．０・２人</t>
  </si>
  <si>
    <t>身体あり早２．０・基</t>
  </si>
  <si>
    <t>身体あり早２．０・基・２人</t>
  </si>
  <si>
    <t>身体あり早２．５</t>
  </si>
  <si>
    <t>身体あり早２．５・２人</t>
  </si>
  <si>
    <t>身体あり早２．５・基</t>
  </si>
  <si>
    <t>身体あり早２．５・基・２人</t>
  </si>
  <si>
    <t>身体あり夜０．５</t>
  </si>
  <si>
    <t>身体あり夜０．５・２人</t>
  </si>
  <si>
    <t>身体あり夜０．５・基</t>
  </si>
  <si>
    <t>身体あり夜０．５・基・２人</t>
  </si>
  <si>
    <t>身体あり夜１．０</t>
  </si>
  <si>
    <t>身体あり夜１．０・２人</t>
  </si>
  <si>
    <t>身体あり夜１．０・基</t>
  </si>
  <si>
    <t>身体あり夜１．０・基・２人</t>
  </si>
  <si>
    <t>身体あり夜１．５</t>
  </si>
  <si>
    <t>身体あり夜１．５・２人</t>
  </si>
  <si>
    <t>身体あり夜１．５・基</t>
  </si>
  <si>
    <t>身体あり夜１．５・基・２人</t>
  </si>
  <si>
    <t>身体あり夜２．０</t>
  </si>
  <si>
    <t>身体あり夜２．０・２人</t>
  </si>
  <si>
    <t>身体あり夜２．０・基</t>
  </si>
  <si>
    <t>身体あり夜２．０・基・２人</t>
  </si>
  <si>
    <t>身体あり夜２．５</t>
  </si>
  <si>
    <t>身体あり夜２．５・２人</t>
  </si>
  <si>
    <t>身体あり夜２．５・基</t>
  </si>
  <si>
    <t>身体あり夜２．５・基・２人</t>
  </si>
  <si>
    <t>身体あり夜３．０</t>
  </si>
  <si>
    <t>身体あり夜３．０・２人</t>
  </si>
  <si>
    <t>身体あり夜３．０・基</t>
  </si>
  <si>
    <t>身体あり夜３．０・基・２人</t>
  </si>
  <si>
    <t>身体あり夜３．５</t>
  </si>
  <si>
    <t>身体あり夜３．５・２人</t>
  </si>
  <si>
    <t>身体あり夜３．５・基</t>
  </si>
  <si>
    <t>身体あり夜３．５・基・２人</t>
  </si>
  <si>
    <t>身体あり夜４．０</t>
  </si>
  <si>
    <t>身体あり夜４．０・２人</t>
  </si>
  <si>
    <t>身体あり夜４．０・基</t>
  </si>
  <si>
    <t>身体あり夜４．０・基・２人</t>
  </si>
  <si>
    <t>身体あり夜４．５</t>
  </si>
  <si>
    <t>身体あり夜４．５・２人</t>
  </si>
  <si>
    <t>身体あり夜４．５・基</t>
  </si>
  <si>
    <t>身体あり夜４．５・基・２人</t>
  </si>
  <si>
    <t>ロ　移動支援（身体介護を伴う場合）　（深夜のみ）</t>
    <rPh sb="2" eb="6">
      <t>イドウシエン</t>
    </rPh>
    <phoneticPr fontId="1"/>
  </si>
  <si>
    <t>身体あり深０．５</t>
  </si>
  <si>
    <t>身体あり深０．５・２人</t>
  </si>
  <si>
    <t>身体あり深０．５・基</t>
  </si>
  <si>
    <t>身体あり深０．５・基・２人</t>
  </si>
  <si>
    <t>身体あり深１．０</t>
  </si>
  <si>
    <t>身体あり深１．０・２人</t>
  </si>
  <si>
    <t>身体あり深１．０・基</t>
  </si>
  <si>
    <t>身体あり深１．０・基・２人</t>
  </si>
  <si>
    <t>身体あり深１．５</t>
  </si>
  <si>
    <t>身体あり深１．５・２人</t>
  </si>
  <si>
    <t>身体あり深１．５・基</t>
  </si>
  <si>
    <t>身体あり深１．５・基・２人</t>
  </si>
  <si>
    <t>身体あり深２．０</t>
  </si>
  <si>
    <t>身体あり深２．０・２人</t>
  </si>
  <si>
    <t>身体あり深２．０・基</t>
  </si>
  <si>
    <t>身体あり深２．０・基・２人</t>
  </si>
  <si>
    <t>身体あり深２．５</t>
  </si>
  <si>
    <t>身体あり深２．５・２人</t>
  </si>
  <si>
    <t>身体あり深２．５・基</t>
  </si>
  <si>
    <t>身体あり深２．５・基・２人</t>
  </si>
  <si>
    <t>身体あり深３．０</t>
  </si>
  <si>
    <t>身体あり深３．０・２人</t>
  </si>
  <si>
    <t>身体あり深３．０・基</t>
  </si>
  <si>
    <t>身体あり深３．０・基・２人</t>
  </si>
  <si>
    <t>身体あり深３．５</t>
  </si>
  <si>
    <t>身体あり深３．５・２人</t>
  </si>
  <si>
    <t>身体あり深３．５・基</t>
  </si>
  <si>
    <t>身体あり深３．５・基・２人</t>
  </si>
  <si>
    <t>身体あり深４．０</t>
  </si>
  <si>
    <t>身体あり深４．０・２人</t>
  </si>
  <si>
    <t>身体あり深４．０・基</t>
  </si>
  <si>
    <t>身体あり深４．０・基・２人</t>
  </si>
  <si>
    <t>身体あり深４．５</t>
  </si>
  <si>
    <t>身体あり深４．５・２人</t>
  </si>
  <si>
    <t>身体あり深４．５・基</t>
  </si>
  <si>
    <t>身体あり深４．５・基・２人</t>
  </si>
  <si>
    <t>身体あり深５．０</t>
  </si>
  <si>
    <t>身体あり深５．０・２人</t>
  </si>
  <si>
    <t>身体あり深５．０・基</t>
  </si>
  <si>
    <t>身体あり深５．０・基・２人</t>
  </si>
  <si>
    <t>身体あり深５．５</t>
  </si>
  <si>
    <t>身体あり深５．５・２人</t>
  </si>
  <si>
    <t>身体あり深５．５・基</t>
  </si>
  <si>
    <t>身体あり深５．５・基・２人</t>
  </si>
  <si>
    <t>身体あり深６．０</t>
  </si>
  <si>
    <t>身体あり深６．０・２人</t>
  </si>
  <si>
    <t>身体あり深６．０・基</t>
  </si>
  <si>
    <t>身体あり深６．０・基・２人</t>
  </si>
  <si>
    <t>身体あり深６．５</t>
  </si>
  <si>
    <t>身体あり深６．５・２人</t>
  </si>
  <si>
    <t>身体あり深６．５・基</t>
  </si>
  <si>
    <t>身体あり深６．５・基・２人</t>
  </si>
  <si>
    <t>ロ　移動支援（身体介護を伴う場合）　（深夜＋早朝）</t>
    <rPh sb="2" eb="4">
      <t>イドウ</t>
    </rPh>
    <rPh sb="4" eb="6">
      <t>シエン</t>
    </rPh>
    <phoneticPr fontId="1"/>
  </si>
  <si>
    <t>身体あり深０．５・早０．５</t>
  </si>
  <si>
    <t>身体あり深０．５・早０．５・２人</t>
  </si>
  <si>
    <t>身体あり深０．５・早０．５・基</t>
  </si>
  <si>
    <t>身体あり深０．５・早０．５・基・２人</t>
  </si>
  <si>
    <t>身体あり深０．５・早１．０</t>
  </si>
  <si>
    <t>身体あり深０．５・早１．０・２人</t>
  </si>
  <si>
    <t>身体あり深０．５・早１．０・基</t>
  </si>
  <si>
    <t>身体あり深０．５・早１．０・基・２人</t>
  </si>
  <si>
    <t>身体あり深０．５・早１．５</t>
  </si>
  <si>
    <t>身体あり深０．５・早１．５・２人</t>
  </si>
  <si>
    <t>身体あり深０．５・早１．５・基</t>
  </si>
  <si>
    <t>身体あり深０．５・早１．５・基・２人</t>
  </si>
  <si>
    <t>身体あり深０．５・早２．０</t>
  </si>
  <si>
    <t>身体あり深０．５・早２．０・２人</t>
  </si>
  <si>
    <t>身体あり深０．５・早２．０・基</t>
  </si>
  <si>
    <t>身体あり深０．５・早２．０・基・２人</t>
  </si>
  <si>
    <t>身体あり深０．５・早２．５</t>
  </si>
  <si>
    <t>身体あり深０．５・早２．５・２人</t>
  </si>
  <si>
    <t>身体あり深０．５・早２．５・基</t>
  </si>
  <si>
    <t>身体あり深０．５・早２．５・基・２人</t>
  </si>
  <si>
    <t>身体あり深１．０・早０．５</t>
  </si>
  <si>
    <t>身体あり深１．０・早０．５・２人</t>
  </si>
  <si>
    <t>身体あり深１．０・早０．５・基</t>
  </si>
  <si>
    <t>身体あり深１．０・早０．５・基・２人</t>
  </si>
  <si>
    <t>身体あり深１．０・早１．０</t>
  </si>
  <si>
    <t>身体あり深１．０・早１．０・２人</t>
  </si>
  <si>
    <t>身体あり深１．０・早１．０・基</t>
  </si>
  <si>
    <t>身体あり深１．０・早１．０・基・２人</t>
  </si>
  <si>
    <t>身体あり深１．０・早１．５</t>
  </si>
  <si>
    <t>身体あり深１．０・早１．５・２人</t>
  </si>
  <si>
    <t>身体あり深１．０・早１．５・基</t>
  </si>
  <si>
    <t>身体あり深１．０・早１．５・基・２人</t>
  </si>
  <si>
    <t>身体あり深１．０・早２．０</t>
  </si>
  <si>
    <t>身体あり深１．０・早２．０・２人</t>
  </si>
  <si>
    <t>身体あり深１．０・早２．０・基</t>
  </si>
  <si>
    <t>身体あり深１．０・早２．０・基・２人</t>
  </si>
  <si>
    <t>身体あり深１．５・早０．５</t>
  </si>
  <si>
    <t>身体あり深１．５・早０．５・２人</t>
  </si>
  <si>
    <t>身体あり深１．５・早０．５・基</t>
  </si>
  <si>
    <t>身体あり深１．５・早０．５・基・２人</t>
  </si>
  <si>
    <t>身体あり深１．５・早１．０</t>
  </si>
  <si>
    <t>身体あり深１．５・早１．０・２人</t>
  </si>
  <si>
    <t>身体あり深１．５・早１．０・基</t>
  </si>
  <si>
    <t>身体あり深１．５・早１．０・基・２人</t>
  </si>
  <si>
    <t>身体あり深１．５・早１．５</t>
  </si>
  <si>
    <t>身体あり深１．５・早１．５・２人</t>
  </si>
  <si>
    <t>身体あり深１．５・早１．５・基</t>
  </si>
  <si>
    <t>身体あり深１．５・早１．５・基・２人</t>
  </si>
  <si>
    <t>身体あり深２．０・早０．５</t>
  </si>
  <si>
    <t>身体あり深２．０・早０．５・２人</t>
  </si>
  <si>
    <t>身体あり深２．０・早０．５・基</t>
  </si>
  <si>
    <t>身体あり深２．０・早０．５・基・２人</t>
  </si>
  <si>
    <t>身体あり深２．０・早１．０</t>
  </si>
  <si>
    <t>身体あり深２．０・早１．０・２人</t>
  </si>
  <si>
    <t>身体あり深２．０・早１．０・基</t>
  </si>
  <si>
    <t>身体あり深２．０・早１．０・基・２人</t>
  </si>
  <si>
    <t>身体あり深２．５・早０．５</t>
  </si>
  <si>
    <t>身体あり深２．５・早０．５・２人</t>
  </si>
  <si>
    <t>身体あり深２．５・早０．５・基</t>
  </si>
  <si>
    <t>身体あり深２．５・早０．５・基・２人</t>
  </si>
  <si>
    <t>ロ　移動支援（身体介護を伴う場合）　（早朝＋日中）</t>
    <rPh sb="2" eb="6">
      <t>イドウシエン</t>
    </rPh>
    <phoneticPr fontId="1"/>
  </si>
  <si>
    <t>身体あり早０．５・日０．５</t>
  </si>
  <si>
    <t>身体あり早０．５・日０．５・２人</t>
  </si>
  <si>
    <t>身体あり早０．５・日０．５・基</t>
  </si>
  <si>
    <t>身体あり早０．５・日０．５・基・２人</t>
  </si>
  <si>
    <t>身体あり早０．５・日１．０</t>
  </si>
  <si>
    <t>身体あり早０．５・日１．０・２人</t>
  </si>
  <si>
    <t>身体あり早０．５・日１．０・基</t>
  </si>
  <si>
    <t>身体あり早０．５・日１．０・基・２人</t>
  </si>
  <si>
    <t>身体あり早０．５・日１．５</t>
  </si>
  <si>
    <t>身体あり早０．５・日１．５・２人</t>
  </si>
  <si>
    <t>身体あり早０．５・日１．５・基</t>
  </si>
  <si>
    <t>身体あり早０．５・日１．５・基・２人</t>
  </si>
  <si>
    <t>身体あり早０．５・日２．０</t>
  </si>
  <si>
    <t>身体あり早０．５・日２．０・２人</t>
  </si>
  <si>
    <t>身体あり早０．５・日２．０・基</t>
  </si>
  <si>
    <t>身体あり早０．５・日２．０・基・２人</t>
  </si>
  <si>
    <t>身体あり早０．５・日２．５</t>
  </si>
  <si>
    <t>身体あり早０．５・日２．５・２人</t>
  </si>
  <si>
    <t>身体あり早０．５・日２．５・基</t>
  </si>
  <si>
    <t>身体あり早０．５・日２．５・基・２人</t>
  </si>
  <si>
    <t>身体あり早１．０・日０．５</t>
  </si>
  <si>
    <t>身体あり早１．０・日０．５・２人</t>
  </si>
  <si>
    <t>身体あり早１．０・日０．５・基</t>
  </si>
  <si>
    <t>身体あり早１．０・日０．５・基・２人</t>
  </si>
  <si>
    <t>身体あり早１．０・日１．０</t>
  </si>
  <si>
    <t>身体あり早１．０・日１．０・２人</t>
  </si>
  <si>
    <t>身体あり早１．０・日１．０・基</t>
  </si>
  <si>
    <t>身体あり早１．０・日１．０・基・２人</t>
  </si>
  <si>
    <t>身体あり早１．０・日１．５</t>
  </si>
  <si>
    <t>身体あり早１．０・日１．５・２人</t>
  </si>
  <si>
    <t>身体あり早１．０・日１．５・基</t>
  </si>
  <si>
    <t>身体あり早１．０・日１．５・基・２人</t>
  </si>
  <si>
    <t>身体あり早１．０・日２．０</t>
  </si>
  <si>
    <t>身体あり早１．０・日２．０・２人</t>
  </si>
  <si>
    <t>身体あり早１．０・日２．０・基</t>
  </si>
  <si>
    <t>身体あり早１．０・日２．０・基・２人</t>
  </si>
  <si>
    <t>身体あり早１．５・日０．５</t>
  </si>
  <si>
    <t>身体あり早１．５・日０．５・２人</t>
  </si>
  <si>
    <t>身体あり早１．５・日０．５・基</t>
  </si>
  <si>
    <t>身体あり早１．５・日０．５・基・２人</t>
  </si>
  <si>
    <t>身体あり早１．５・日１．０</t>
  </si>
  <si>
    <t>身体あり早１．５・日１．０・２人</t>
  </si>
  <si>
    <t>身体あり早１．５・日１．０・基</t>
  </si>
  <si>
    <t>身体あり早１．５・日１．０・基・２人</t>
  </si>
  <si>
    <t>身体あり早１．５・日１．５</t>
  </si>
  <si>
    <t>身体あり早１．５・日１．５・２人</t>
  </si>
  <si>
    <t>身体あり早１．５・日１．５・基</t>
  </si>
  <si>
    <t>身体あり早１．５・日１．５・基・２人</t>
  </si>
  <si>
    <t>身体あり早２．０・日０．５</t>
  </si>
  <si>
    <t>身体あり早２．０・日０．５・２人</t>
  </si>
  <si>
    <t>身体あり早２．０・日０．５・基</t>
  </si>
  <si>
    <t>身体あり早２．０・日０．５・基・２人</t>
  </si>
  <si>
    <t>身体あり早２．０・日１．０</t>
  </si>
  <si>
    <t>身体あり早２．０・日１．０・２人</t>
  </si>
  <si>
    <t>身体あり早２．０・日１．０・基</t>
  </si>
  <si>
    <t>身体あり早２．０・日１．０・基・２人</t>
  </si>
  <si>
    <t>身体あり早２．５・日０．５</t>
  </si>
  <si>
    <t>身体あり早２．５・日０．５・２人</t>
  </si>
  <si>
    <t>身体あり早２．５・日０．５・基</t>
  </si>
  <si>
    <t>身体あり早２．５・日０．５・基・２人</t>
  </si>
  <si>
    <t>ロ　移動支援（身体介護を伴う場合）　（日中＋夜間）</t>
    <rPh sb="2" eb="6">
      <t>イドウシエン</t>
    </rPh>
    <phoneticPr fontId="1"/>
  </si>
  <si>
    <t>ロ　移動支援（身体介護を伴う場合）　（深夜＋早朝＋日中）</t>
    <rPh sb="2" eb="6">
      <t>イドウシエン</t>
    </rPh>
    <phoneticPr fontId="1"/>
  </si>
  <si>
    <t>身体あり日０．５・夜０．５</t>
  </si>
  <si>
    <t>身体あり日０．５・夜０．５・２人</t>
  </si>
  <si>
    <t>身体あり日０．５・夜０．５・基</t>
  </si>
  <si>
    <t>身体あり日０．５・夜０．５・基・２人</t>
  </si>
  <si>
    <t>身体あり日０．５・夜１．０</t>
  </si>
  <si>
    <t>身体あり日０．５・夜１．０・２人</t>
  </si>
  <si>
    <t>身体あり日０．５・夜１．０・基</t>
  </si>
  <si>
    <t>身体あり日０．５・夜１．０・基・２人</t>
  </si>
  <si>
    <t>身体あり日０．５・夜１．５</t>
  </si>
  <si>
    <t>身体あり日０．５・夜１．５・２人</t>
  </si>
  <si>
    <t>身体あり日０．５・夜１．５・基</t>
  </si>
  <si>
    <t>身体あり日０．５・夜１．５・基・２人</t>
  </si>
  <si>
    <t>身体あり日０．５・夜２．０</t>
  </si>
  <si>
    <t>身体あり日０．５・夜２．０・２人</t>
  </si>
  <si>
    <t>身体あり日０．５・夜２．０・基</t>
  </si>
  <si>
    <t>身体あり日０．５・夜２．０・基・２人</t>
  </si>
  <si>
    <t>身体あり日０．５・夜２．５</t>
  </si>
  <si>
    <t>身体あり日０．５・夜２．５・２人</t>
  </si>
  <si>
    <t>身体あり日０．５・夜２．５・基</t>
  </si>
  <si>
    <t>身体あり日０．５・夜２．５・基・２人</t>
  </si>
  <si>
    <t>身体あり日１．０・夜０．５</t>
  </si>
  <si>
    <t>身体あり日１．０・夜０．５・２人</t>
  </si>
  <si>
    <t>身体あり日１．０・夜０．５・基</t>
  </si>
  <si>
    <t>身体あり日１．０・夜０．５・基・２人</t>
  </si>
  <si>
    <t>身体あり日１．０・夜１．０</t>
  </si>
  <si>
    <t>身体あり日１．０・夜１．０・２人</t>
  </si>
  <si>
    <t>身体あり日１．０・夜１．０・基</t>
  </si>
  <si>
    <t>身体あり日１．０・夜１．０・基・２人</t>
  </si>
  <si>
    <t>身体あり日１．０・夜１．５</t>
  </si>
  <si>
    <t>身体あり日１．０・夜１．５・２人</t>
  </si>
  <si>
    <t>身体あり日１．０・夜１．５・基</t>
  </si>
  <si>
    <t>身体あり日１．０・夜１．５・基・２人</t>
  </si>
  <si>
    <t>身体あり日１．０・夜２．０</t>
  </si>
  <si>
    <t>身体あり日１．０・夜２．０・２人</t>
  </si>
  <si>
    <t>身体あり日１．０・夜２．０・基</t>
  </si>
  <si>
    <t>身体あり日１．０・夜２．０・基・２人</t>
  </si>
  <si>
    <t>身体あり日１．５・夜０．５</t>
  </si>
  <si>
    <t>身体あり日１．５・夜０．５・２人</t>
  </si>
  <si>
    <t>身体あり日１．５・夜０．５・基</t>
  </si>
  <si>
    <t>身体あり日１．５・夜０．５・基・２人</t>
  </si>
  <si>
    <t>身体あり日１．５・夜１．０</t>
  </si>
  <si>
    <t>身体あり日１．５・夜１．０・２人</t>
  </si>
  <si>
    <t>身体あり日１．５・夜１．０・基</t>
  </si>
  <si>
    <t>身体あり日１．５・夜１．０・基・２人</t>
  </si>
  <si>
    <t>身体あり日１．５・夜１．５</t>
  </si>
  <si>
    <t>身体あり日１．５・夜１．５・２人</t>
  </si>
  <si>
    <t>身体あり日１．５・夜１．５・基</t>
  </si>
  <si>
    <t>身体あり日１．５・夜１．５・基・２人</t>
  </si>
  <si>
    <t>身体あり日２．０・夜０．５</t>
  </si>
  <si>
    <t>身体あり日２．０・夜０．５・２人</t>
  </si>
  <si>
    <t>身体あり日２．０・夜０．５・基</t>
  </si>
  <si>
    <t>身体あり日２．０・夜０．５・基・２人</t>
  </si>
  <si>
    <t>身体あり日２．０・夜１．０</t>
  </si>
  <si>
    <t>身体あり日２．０・夜１．０・２人</t>
  </si>
  <si>
    <t>身体あり日２．０・夜１．０・基</t>
  </si>
  <si>
    <t>身体あり日２．０・夜１．０・基・２人</t>
  </si>
  <si>
    <t>身体あり日２．５・夜０．５</t>
  </si>
  <si>
    <t>身体あり日２．５・夜０．５・２人</t>
  </si>
  <si>
    <t>身体あり日２．５・夜０．５・基</t>
  </si>
  <si>
    <t>身体あり日２．５・夜０．５・基・２人</t>
  </si>
  <si>
    <t>身体あり深０．５・早２．０・日０．５</t>
  </si>
  <si>
    <t>身体あり深０．５・早２．０・日０．５・２人</t>
  </si>
  <si>
    <t>身体あり深０．５・早２．０・日０．５・基</t>
  </si>
  <si>
    <t>身体あり深０．５・早２．０・日０．５・基・２人</t>
  </si>
  <si>
    <t>ロ　移動支援（身体介護を伴う場合）　（夜間＋深夜）</t>
    <rPh sb="2" eb="6">
      <t>イドウシエン</t>
    </rPh>
    <phoneticPr fontId="1"/>
  </si>
  <si>
    <t>身体あり夜０．５・深０．５</t>
  </si>
  <si>
    <t>身体あり夜０．５・深０．５・２人</t>
  </si>
  <si>
    <t>身体あり夜０．５・深０．５・基</t>
  </si>
  <si>
    <t>身体あり夜０．５・深０．５・基・２人</t>
  </si>
  <si>
    <t>身体あり夜０．５・深１．０</t>
  </si>
  <si>
    <t>身体あり夜０．５・深１．０・２人</t>
  </si>
  <si>
    <t>身体あり夜０．５・深１．０・基</t>
  </si>
  <si>
    <t>身体あり夜０．５・深１．０・基・２人</t>
  </si>
  <si>
    <t>身体あり夜０．５・深１．５</t>
  </si>
  <si>
    <t>身体あり夜０．５・深１．５・２人</t>
  </si>
  <si>
    <t>身体あり夜０．５・深１．５・基</t>
  </si>
  <si>
    <t>身体あり夜０．５・深１．５・基・２人</t>
  </si>
  <si>
    <t>身体あり夜０．５・深２．０</t>
  </si>
  <si>
    <t>身体あり夜０．５・深２．０・２人</t>
  </si>
  <si>
    <t>身体あり夜０．５・深２．０・基</t>
  </si>
  <si>
    <t>身体あり夜０．５・深２．０・基・２人</t>
  </si>
  <si>
    <t>身体あり夜０．５・深２．５</t>
  </si>
  <si>
    <t>身体あり夜０．５・深２．５・２人</t>
  </si>
  <si>
    <t>身体あり夜０．５・深２．５・基</t>
  </si>
  <si>
    <t>身体あり夜０．５・深２．５・基・２人</t>
  </si>
  <si>
    <t>身体あり夜１．０・深０．５</t>
  </si>
  <si>
    <t>身体あり夜１．０・深０．５・２人</t>
  </si>
  <si>
    <t>身体あり夜１．０・深０．５・基</t>
  </si>
  <si>
    <t>身体あり夜１．０・深０．５・基・２人</t>
  </si>
  <si>
    <t>身体あり夜１．０・深１．０</t>
  </si>
  <si>
    <t>身体あり夜１．０・深１．０・２人</t>
  </si>
  <si>
    <t>身体あり夜１．０・深１．０・基</t>
  </si>
  <si>
    <t>身体あり夜１．０・深１．０・基・２人</t>
  </si>
  <si>
    <t>身体あり夜１．０・深１．５</t>
  </si>
  <si>
    <t>身体あり夜１．０・深１．５・２人</t>
  </si>
  <si>
    <t>身体あり夜１．０・深１．５・基</t>
  </si>
  <si>
    <t>身体あり夜１．０・深１．５・基・２人</t>
  </si>
  <si>
    <t>身体あり夜１．０・深２．０</t>
  </si>
  <si>
    <t>身体あり夜１．０・深２．０・２人</t>
  </si>
  <si>
    <t>身体あり夜１．０・深２．０・基</t>
  </si>
  <si>
    <t>身体あり夜１．０・深２．０・基・２人</t>
  </si>
  <si>
    <t>身体あり夜１．５・深０．５</t>
  </si>
  <si>
    <t>身体あり夜１．５・深０．５・２人</t>
  </si>
  <si>
    <t>身体あり夜１．５・深０．５・基</t>
  </si>
  <si>
    <t>身体あり夜１．５・深０．５・基・２人</t>
  </si>
  <si>
    <t>身体あり夜１．５・深１．０</t>
  </si>
  <si>
    <t>身体あり夜１．５・深１．０・２人</t>
  </si>
  <si>
    <t>身体あり夜１．５・深１．０・基</t>
  </si>
  <si>
    <t>身体あり夜１．５・深１．０・基・２人</t>
  </si>
  <si>
    <t>身体あり夜１．５・深１．５</t>
  </si>
  <si>
    <t>身体あり夜１．５・深１．５・２人</t>
  </si>
  <si>
    <t>身体あり夜１．５・深１．５・基</t>
  </si>
  <si>
    <t>身体あり夜１．５・深１．５・基・２人</t>
  </si>
  <si>
    <t>身体あり夜２．０・深０．５</t>
  </si>
  <si>
    <t>身体あり夜２．０・深０．５・２人</t>
  </si>
  <si>
    <t>身体あり夜２．０・深０．５・基</t>
  </si>
  <si>
    <t>身体あり夜２．０・深０．５・基・２人</t>
  </si>
  <si>
    <t>身体あり夜２．０・深１．０</t>
  </si>
  <si>
    <t>身体あり夜２．０・深１．０・２人</t>
  </si>
  <si>
    <t>身体あり夜２．０・深１．０・基</t>
  </si>
  <si>
    <t>身体あり夜２．０・深１．０・基・２人</t>
  </si>
  <si>
    <t>身体あり夜２．５・深０．５</t>
  </si>
  <si>
    <t>身体あり夜２．５・深０．５・２人</t>
  </si>
  <si>
    <t>身体あり夜２．５・深０．５・基</t>
  </si>
  <si>
    <t>身体あり夜２．５・深０．５・基・２人</t>
  </si>
  <si>
    <t>ロ　移動支援（身体介護を伴う場合）　（日を跨る場合　２日目深夜増分）</t>
    <rPh sb="2" eb="4">
      <t>イドウ</t>
    </rPh>
    <rPh sb="4" eb="6">
      <t>シエン</t>
    </rPh>
    <phoneticPr fontId="1"/>
  </si>
  <si>
    <t>身体あり日跨増深０．５・深０．５</t>
  </si>
  <si>
    <t>身体あり日跨増深０．５・深０．５・２人</t>
  </si>
  <si>
    <t>身体あり日跨増深０．５・深０．５・基</t>
  </si>
  <si>
    <t>身体あり日跨増深０．５・深０．５・基・２人</t>
  </si>
  <si>
    <t>身体あり日跨増深０．５・深１．０</t>
  </si>
  <si>
    <t>身体あり日跨増深０．５・深１．０・２人</t>
  </si>
  <si>
    <t>身体あり日跨増深０．５・深１．０・基</t>
  </si>
  <si>
    <t>身体あり日跨増深０．５・深１．０・基・２人</t>
  </si>
  <si>
    <t>身体あり日跨増深０．５・深１．５</t>
  </si>
  <si>
    <t>身体あり日跨増深０．５・深１．５・２人</t>
  </si>
  <si>
    <t>身体あり日跨増深０．５・深１．５・基</t>
  </si>
  <si>
    <t>身体あり日跨増深０．５・深１．５・基・２人</t>
  </si>
  <si>
    <t>身体あり日跨増深０．５・深２．０</t>
  </si>
  <si>
    <t>身体あり日跨増深０．５・深２．０・２人</t>
  </si>
  <si>
    <t>身体あり日跨増深０．５・深２．０・基</t>
  </si>
  <si>
    <t>身体あり日跨増深０．５・深２．０・基・２人</t>
  </si>
  <si>
    <t>身体あり日跨増深０．５・深２．５</t>
  </si>
  <si>
    <t>身体あり日跨増深０．５・深２．５・２人</t>
  </si>
  <si>
    <t>身体あり日跨増深０．５・深２．５・基</t>
  </si>
  <si>
    <t>身体あり日跨増深０．５・深２．５・基・２人</t>
  </si>
  <si>
    <t>身体あり日跨増深１．０・深０．５</t>
  </si>
  <si>
    <t>身体あり日跨増深１．０・深０．５・２人</t>
  </si>
  <si>
    <t>身体あり日跨増深１．０・深０．５・基</t>
  </si>
  <si>
    <t>身体あり日跨増深１．０・深０．５・基・２人</t>
  </si>
  <si>
    <t>身体あり日跨増深１．０・深１．０</t>
  </si>
  <si>
    <t>身体あり日跨増深１．０・深１．０・２人</t>
  </si>
  <si>
    <t>身体あり日跨増深１．０・深１．０・基</t>
  </si>
  <si>
    <t>身体あり日跨増深１．０・深１．０・基・２人</t>
  </si>
  <si>
    <t>身体あり日跨増深１．０・深１．５</t>
  </si>
  <si>
    <t>身体あり日跨増深１．０・深１．５・２人</t>
  </si>
  <si>
    <t>身体あり日跨増深１．０・深１．５・基</t>
  </si>
  <si>
    <t>身体あり日跨増深１．０・深１．５・基・２人</t>
  </si>
  <si>
    <t>身体あり日跨増深１．０・深２．０</t>
  </si>
  <si>
    <t>身体あり日跨増深１．０・深２．０・２人</t>
  </si>
  <si>
    <t>身体あり日跨増深１．０・深２．０・基</t>
  </si>
  <si>
    <t>身体あり日跨増深１．０・深２．０・基・２人</t>
  </si>
  <si>
    <t>身体あり日跨増深１．５・深０．５</t>
  </si>
  <si>
    <t>身体あり日跨増深１．５・深０．５・２人</t>
  </si>
  <si>
    <t>身体あり日跨増深１．５・深０．５・基</t>
  </si>
  <si>
    <t>身体あり日跨増深１．５・深０．５・基・２人</t>
  </si>
  <si>
    <t>身体あり日跨増深１．５・深１．０</t>
  </si>
  <si>
    <t>身体あり日跨増深１．５・深１．０・２人</t>
  </si>
  <si>
    <t>身体あり日跨増深１．５・深１．０・基</t>
  </si>
  <si>
    <t>身体あり日跨増深１．５・深１．０・基・２人</t>
  </si>
  <si>
    <t>身体あり日跨増深１．５・深１．５</t>
  </si>
  <si>
    <t>身体あり日跨増深１．５・深１．５・２人</t>
  </si>
  <si>
    <t>身体あり日跨増深１．５・深１．５・基</t>
  </si>
  <si>
    <t>身体あり日跨増深１．５・深１．５・基・２人</t>
  </si>
  <si>
    <t>身体あり日跨増深２．０・深０．５</t>
  </si>
  <si>
    <t>身体あり日跨増深２．０・深０．５・２人</t>
  </si>
  <si>
    <t>身体あり日跨増深２．０・深０．５・基</t>
  </si>
  <si>
    <t>身体あり日跨増深２．０・深０．５・基・２人</t>
  </si>
  <si>
    <t>身体あり日跨増深２．０・深１．０</t>
  </si>
  <si>
    <t>身体あり日跨増深２．０・深１．０・２人</t>
  </si>
  <si>
    <t>身体あり日跨増深２．０・深１．０・基</t>
  </si>
  <si>
    <t>身体あり日跨増深２．０・深１．０・基・２人</t>
  </si>
  <si>
    <t>身体あり日跨増深２．５・深０．５</t>
  </si>
  <si>
    <t>身体あり日跨増深２．５・深０．５・２人</t>
  </si>
  <si>
    <t>身体あり日跨増深２．５・深０．５・基</t>
  </si>
  <si>
    <t>身体あり日跨増深２．５・深０．５・基・２人</t>
  </si>
  <si>
    <t>ロ　移動支援（身体介護を伴う場合）　（深夜＋早朝＋日中）　　※サービス間隔が２時間未満の場合</t>
    <rPh sb="2" eb="6">
      <t>イドウシエン</t>
    </rPh>
    <phoneticPr fontId="1"/>
  </si>
  <si>
    <t>ロ　移動支援（身体介護を伴う場合）　（深夜＋日中）　　※サービス間隔が２時間未満の場合</t>
    <rPh sb="2" eb="6">
      <t>イドウシエン</t>
    </rPh>
    <phoneticPr fontId="1"/>
  </si>
  <si>
    <t>身体あり深０．５・早１．５・日０．５</t>
  </si>
  <si>
    <t>身体あり深０．５・早１．５・日０．５・２人</t>
  </si>
  <si>
    <t>身体あり深０．５・早１．５・日０．５・基</t>
  </si>
  <si>
    <t>身体あり深０．５・早１．５・日０．５・基・２人</t>
  </si>
  <si>
    <t>身体あり深０．５・早１．５・日１．０</t>
  </si>
  <si>
    <t>身体あり深０．５・早１．５・日１．０・２人</t>
  </si>
  <si>
    <t>身体あり深０．５・早１．５・日１．０・基</t>
  </si>
  <si>
    <t>身体あり深０．５・早１．５・日１．０・基・２人</t>
  </si>
  <si>
    <t>身体あり深１．０・早１．５・日０．５</t>
  </si>
  <si>
    <t>身体あり深１．０・早１．５・日０．５・２人</t>
  </si>
  <si>
    <t>身体あり深１．０・早１．５・日０．５・基</t>
  </si>
  <si>
    <t>身体あり深１．０・早１．５・日０．５・基・２人</t>
  </si>
  <si>
    <t>身体あり深０．５・早１．０・日０．５</t>
  </si>
  <si>
    <t>身体あり深０．５・早１．０・日０．５・２人</t>
  </si>
  <si>
    <t>身体あり深０．５・早１．０・日０．５・基</t>
  </si>
  <si>
    <t>身体あり深０．５・早１．０・日０．５・基・２人</t>
  </si>
  <si>
    <t>身体あり深０．５・早１．０・日１．０</t>
  </si>
  <si>
    <t>身体あり深０．５・早１．０・日１．０・２人</t>
  </si>
  <si>
    <t>身体あり深０．５・早１．０・日１．０・基</t>
  </si>
  <si>
    <t>身体あり深０．５・早１．０・日１．０・基・２人</t>
  </si>
  <si>
    <t>身体あり深０．５・早１．０・日１．５</t>
  </si>
  <si>
    <t>身体あり深０．５・早１．０・日１．５・２人</t>
  </si>
  <si>
    <t>身体あり深０．５・早１．０・日１．５・基</t>
  </si>
  <si>
    <t>身体あり深０．５・早１．０・日１．５・基・２人</t>
  </si>
  <si>
    <t>身体あり深１．０・早１．０・日０．５</t>
  </si>
  <si>
    <t>身体あり深１．０・早１．０・日０．５・２人</t>
  </si>
  <si>
    <t>身体あり深１．０・早１．０・日０．５・基</t>
  </si>
  <si>
    <t>身体あり深１．０・早１．０・日０．５・基・２人</t>
  </si>
  <si>
    <t>身体あり深１．０・早１．０・日１．０</t>
  </si>
  <si>
    <t>身体あり深１．０・早１．０・日１．０・２人</t>
  </si>
  <si>
    <t>身体あり深１．０・早１．０・日１．０・基</t>
  </si>
  <si>
    <t>身体あり深１．０・早１．０・日１．０・基・２人</t>
  </si>
  <si>
    <t>身体あり深１．５・早１．０・日０．５</t>
  </si>
  <si>
    <t>身体あり深１．５・早１．０・日０．５・２人</t>
  </si>
  <si>
    <t>身体あり深１．５・早１．０・日０．５・基</t>
  </si>
  <si>
    <t>身体あり深１．５・早１．０・日０．５・基・２人</t>
  </si>
  <si>
    <t>身体あり深０．５・早０．５・日０．５</t>
  </si>
  <si>
    <t>身体あり深０．５・早０．５・日０．５・２人</t>
  </si>
  <si>
    <t>身体あり深０．５・早０．５・日０．５・基</t>
  </si>
  <si>
    <t>身体あり深０．５・早０．５・日０．５・基・２人</t>
  </si>
  <si>
    <t>身体あり深０．５・早０．５・日１．０</t>
  </si>
  <si>
    <t>身体あり深０．５・早０．５・日１．０・２人</t>
  </si>
  <si>
    <t>身体あり深０．５・早０．５・日１．０・基</t>
  </si>
  <si>
    <t>身体あり深０．５・早０．５・日１．０・基・２人</t>
  </si>
  <si>
    <t>身体あり深０．５・早０．５・日１．５</t>
  </si>
  <si>
    <t>身体あり深０．５・早０．５・日１．５・２人</t>
  </si>
  <si>
    <t>身体あり深０．５・早０．５・日１．５・基</t>
  </si>
  <si>
    <t>身体あり深０．５・早０．５・日１．５・基・２人</t>
  </si>
  <si>
    <t>身体あり深０．５・早０．５・日２．０</t>
  </si>
  <si>
    <t>身体あり深０．５・早０．５・日２．０・２人</t>
  </si>
  <si>
    <t>身体あり深０．５・早０．５・日２．０・基</t>
  </si>
  <si>
    <t>身体あり深０．５・早０．５・日２．０・基・２人</t>
  </si>
  <si>
    <t>身体あり深１．０・早０．５・日０．５</t>
  </si>
  <si>
    <t>身体あり深１．０・早０．５・日０．５・２人</t>
  </si>
  <si>
    <t>身体あり深１．０・早０．５・日０．５・基</t>
  </si>
  <si>
    <t>身体あり深１．０・早０．５・日０．５・基・２人</t>
  </si>
  <si>
    <t>身体あり深１．０・早０．５・日１．０</t>
  </si>
  <si>
    <t>身体あり深１．０・早０．５・日１．０・２人</t>
  </si>
  <si>
    <t>身体あり深１．０・早０．５・日１．０・基</t>
  </si>
  <si>
    <t>身体あり深１．０・早０．５・日１．０・基・２人</t>
  </si>
  <si>
    <t>身体あり深１．０・早０．５・日１．５</t>
  </si>
  <si>
    <t>身体あり深１．０・早０．５・日１．５・２人</t>
  </si>
  <si>
    <t>身体あり深１．０・早０．５・日１．５・基</t>
  </si>
  <si>
    <t>身体あり深１．０・早０．５・日１．５・基・２人</t>
  </si>
  <si>
    <t>身体あり深１．５・早０．５・日０．５</t>
  </si>
  <si>
    <t>身体あり深１．５・早０．５・日０．５・２人</t>
  </si>
  <si>
    <t>身体あり深１．５・早０．５・日０．５・基</t>
  </si>
  <si>
    <t>身体あり深１．５・早０．５・日０．５・基・２人</t>
  </si>
  <si>
    <t>身体あり深１．５・早０．５・日１．０</t>
  </si>
  <si>
    <t>身体あり深１．５・早０．５・日１．０・２人</t>
  </si>
  <si>
    <t>身体あり深１．５・早０．５・日１．０・基</t>
  </si>
  <si>
    <t>身体あり深１．５・早０．５・日１．０・基・２人</t>
  </si>
  <si>
    <t>身体あり深２．０・早０．５・日０．５</t>
  </si>
  <si>
    <t>身体あり深２．０・早０．５・日０．５・２人</t>
  </si>
  <si>
    <t>身体あり深２．０・早０．５・日０．５・基</t>
  </si>
  <si>
    <t>身体あり深２．０・早０．５・日０．５・基・２人</t>
  </si>
  <si>
    <t>身体あり深０．５・日０．５</t>
  </si>
  <si>
    <t>身体あり深０．５・日０．５・２人</t>
  </si>
  <si>
    <t>身体あり深０．５・日０．５・基</t>
  </si>
  <si>
    <t>身体あり深０．５・日０．５・基・２人</t>
  </si>
  <si>
    <t>身体あり深０．５・日１．０</t>
  </si>
  <si>
    <t>身体あり深０．５・日１．０・２人</t>
  </si>
  <si>
    <t>身体あり深０．５・日１．０・基</t>
  </si>
  <si>
    <t>身体あり深０．５・日１．０・基・２人</t>
  </si>
  <si>
    <t>身体あり深０．５・日１．５</t>
  </si>
  <si>
    <t>身体あり深０．５・日１．５・２人</t>
  </si>
  <si>
    <t>身体あり深０．５・日１．５・基</t>
  </si>
  <si>
    <t>身体あり深０．５・日１．５・基・２人</t>
  </si>
  <si>
    <t>身体あり深０．５・日２．０</t>
  </si>
  <si>
    <t>身体あり深０．５・日２．０・２人</t>
  </si>
  <si>
    <t>身体あり深０．５・日２．０・基</t>
  </si>
  <si>
    <t>身体あり深０．５・日２．０・基・２人</t>
  </si>
  <si>
    <t>身体あり深０．５・日２．５</t>
  </si>
  <si>
    <t>身体あり深０．５・日２．５・２人</t>
  </si>
  <si>
    <t>身体あり深０．５・日２．５・基</t>
  </si>
  <si>
    <t>身体あり深０．５・日２．５・基・２人</t>
  </si>
  <si>
    <t>身体あり深１．０・日０．５</t>
  </si>
  <si>
    <t>身体あり深１．０・日０．５・２人</t>
  </si>
  <si>
    <t>身体あり深１．０・日０．５・基</t>
  </si>
  <si>
    <t>身体あり深１．０・日０．５・基・２人</t>
  </si>
  <si>
    <t>身体あり深１．０・日１．０</t>
  </si>
  <si>
    <t>身体あり深１．０・日１．０・２人</t>
  </si>
  <si>
    <t>身体あり深１．０・日１．０・基</t>
  </si>
  <si>
    <t>身体あり深１．０・日１．０・基・２人</t>
  </si>
  <si>
    <t>身体あり深１．０・日１．５</t>
  </si>
  <si>
    <t>身体あり深１．０・日１．５・２人</t>
  </si>
  <si>
    <t>身体あり深１．０・日１．５・基</t>
  </si>
  <si>
    <t>身体あり深１．０・日１．５・基・２人</t>
  </si>
  <si>
    <t>身体あり深１．０・日２．０</t>
  </si>
  <si>
    <t>身体あり深１．０・日２．０・２人</t>
  </si>
  <si>
    <t>身体あり深１．０・日２．０・基</t>
  </si>
  <si>
    <t>身体あり深１．０・日２．０・基・２人</t>
  </si>
  <si>
    <t>身体あり深１．５・日０．５</t>
  </si>
  <si>
    <t>身体あり深１．５・日０．５・２人</t>
  </si>
  <si>
    <t>身体あり深１．５・日０．５・基</t>
  </si>
  <si>
    <t>身体あり深１．５・日０．５・基・２人</t>
  </si>
  <si>
    <t>身体あり深１．５・日１．０</t>
  </si>
  <si>
    <t>身体あり深１．５・日１．０・２人</t>
  </si>
  <si>
    <t>身体あり深１．５・日１．０・基</t>
  </si>
  <si>
    <t>身体あり深１．５・日１．０・基・２人</t>
  </si>
  <si>
    <t>身体あり深１．５・日１．５</t>
  </si>
  <si>
    <t>身体あり深１．５・日１．５・２人</t>
  </si>
  <si>
    <t>身体あり深１．５・日１．５・基</t>
  </si>
  <si>
    <t>身体あり深１．５・日１．５・基・２人</t>
  </si>
  <si>
    <t>身体あり深２．０・日０．５</t>
  </si>
  <si>
    <t>身体あり深２．０・日０．５・２人</t>
  </si>
  <si>
    <t>身体あり深２．０・日０．５・基</t>
  </si>
  <si>
    <t>身体あり深２．０・日０．５・基・２人</t>
  </si>
  <si>
    <t>身体あり深２．０・日１．０</t>
  </si>
  <si>
    <t>身体あり深２．０・日１．０・２人</t>
  </si>
  <si>
    <t>身体あり深２．０・日１．０・基</t>
  </si>
  <si>
    <t>身体あり深２．０・日１．０・基・２人</t>
  </si>
  <si>
    <t>身体あり深２．５・日０．５</t>
  </si>
  <si>
    <t>身体あり深２．５・日０．５・２人</t>
  </si>
  <si>
    <t>身体あり深２．５・日０．５・基</t>
  </si>
  <si>
    <t>身体あり深２．５・日０．５・基・２人</t>
  </si>
  <si>
    <t>ロ　移動支援（身体介護を伴う場合）　（日中＋夜間＋深夜）　　※サービス間隔が２時間未満の場合</t>
    <rPh sb="2" eb="6">
      <t>イドウシエン</t>
    </rPh>
    <phoneticPr fontId="1"/>
  </si>
  <si>
    <t>身体あり日０．５・夜２．０・深０．５</t>
  </si>
  <si>
    <t>身体あり日０．５・夜２．０・深０．５・２人</t>
  </si>
  <si>
    <t>身体あり日０．５・夜２．０・深０．５・基</t>
  </si>
  <si>
    <t>身体あり日０．５・夜２．０・深０．５・基・２人</t>
  </si>
  <si>
    <t>身体あり日０．５・夜１．５・深０．５</t>
  </si>
  <si>
    <t>身体あり日０．５・夜１．５・深０．５・２人</t>
  </si>
  <si>
    <t>身体あり日０．５・夜１．５・深０．５・基</t>
  </si>
  <si>
    <t>身体あり日０．５・夜１．５・深０．５・基・２人</t>
  </si>
  <si>
    <t>身体あり日０．５・夜１．５・深１．０</t>
  </si>
  <si>
    <t>身体あり日０．５・夜１．５・深１．０・２人</t>
  </si>
  <si>
    <t>身体あり日０．５・夜１．５・深１．０・基</t>
  </si>
  <si>
    <t>身体あり日０．５・夜１．５・深１．０・基・２人</t>
  </si>
  <si>
    <t>身体あり日１．０・夜１．５・深０．５</t>
  </si>
  <si>
    <t>身体あり日１．０・夜１．５・深０．５・２人</t>
  </si>
  <si>
    <t>身体あり日１．０・夜１．５・深０．５・基</t>
  </si>
  <si>
    <t>身体あり日１．０・夜１．５・深０．５・基・２人</t>
  </si>
  <si>
    <t>身体あり日０．５・夜１．０・深０．５</t>
  </si>
  <si>
    <t>身体あり日０．５・夜１．０・深０．５・２人</t>
  </si>
  <si>
    <t>身体あり日０．５・夜１．０・深０．５・基</t>
  </si>
  <si>
    <t>身体あり日０．５・夜１．０・深０．５・基・２人</t>
  </si>
  <si>
    <t>身体あり日０．５・夜１．０・深１．０</t>
  </si>
  <si>
    <t>身体あり日０．５・夜１．０・深１．０・２人</t>
  </si>
  <si>
    <t>身体あり日０．５・夜１．０・深１．０・基</t>
  </si>
  <si>
    <t>身体あり日０．５・夜１．０・深１．０・基・２人</t>
  </si>
  <si>
    <t>身体あり日０．５・夜１．０・深１．５</t>
  </si>
  <si>
    <t>身体あり日０．５・夜１．０・深１．５・２人</t>
  </si>
  <si>
    <t>身体あり日０．５・夜１．０・深１．５・基</t>
  </si>
  <si>
    <t>身体あり日０．５・夜１．０・深１．５・基・２人</t>
  </si>
  <si>
    <t>身体あり日１．０・夜１．０・深０．５</t>
  </si>
  <si>
    <t>身体あり日１．０・夜１．０・深０．５・２人</t>
  </si>
  <si>
    <t>身体あり日１．０・夜１．０・深０．５・基</t>
  </si>
  <si>
    <t>身体あり日１．０・夜１．０・深０．５・基・２人</t>
  </si>
  <si>
    <t>身体あり日１．０・夜１．０・深１．０</t>
  </si>
  <si>
    <t>身体あり日１．０・夜１．０・深１．０・２人</t>
  </si>
  <si>
    <t>身体あり日１．０・夜１．０・深１．０・基</t>
  </si>
  <si>
    <t>身体あり日１．０・夜１．０・深１．０・基・２人</t>
  </si>
  <si>
    <t>身体あり日１．５・夜１．０・深０．５</t>
  </si>
  <si>
    <t>身体あり日１．５・夜１．０・深０．５・２人</t>
  </si>
  <si>
    <t>身体あり日１．５・夜１．０・深０．５・基</t>
  </si>
  <si>
    <t>身体あり日１．５・夜１．０・深０．５・基・２人</t>
  </si>
  <si>
    <t>身体あり日０．５・夜０．５・深０．５</t>
  </si>
  <si>
    <t>身体あり日０．５・夜０．５・深０．５・２人</t>
  </si>
  <si>
    <t>身体あり日０．５・夜０．５・深０．５・基</t>
  </si>
  <si>
    <t>身体あり日０．５・夜０．５・深０．５・基・２人</t>
  </si>
  <si>
    <t>身体あり日０．５・夜０．５・深１．０</t>
  </si>
  <si>
    <t>身体あり日０．５・夜０．５・深１．０・２人</t>
  </si>
  <si>
    <t>身体あり日０．５・夜０．５・深１．０・基</t>
  </si>
  <si>
    <t>身体あり日０．５・夜０．５・深１．０・基・２人</t>
  </si>
  <si>
    <t>身体あり日０．５・夜０．５・深１．５</t>
  </si>
  <si>
    <t>身体あり日０．５・夜０．５・深１．５・２人</t>
  </si>
  <si>
    <t>身体あり日０．５・夜０．５・深１．５・基</t>
  </si>
  <si>
    <t>身体あり日０．５・夜０．５・深１．５・基・２人</t>
  </si>
  <si>
    <t>身体あり日０．５・夜０．５・深２．０</t>
  </si>
  <si>
    <t>身体あり日０．５・夜０．５・深２．０・２人</t>
  </si>
  <si>
    <t>身体あり日０．５・夜０．５・深２．０・基</t>
  </si>
  <si>
    <t>身体あり日０．５・夜０．５・深２．０・基・２人</t>
  </si>
  <si>
    <t>身体あり日１．０・夜０．５・深０．５</t>
  </si>
  <si>
    <t>身体あり日１．０・夜０．５・深０．５・２人</t>
  </si>
  <si>
    <t>身体あり日１．０・夜０．５・深０．５・基</t>
  </si>
  <si>
    <t>身体あり日１．０・夜０．５・深０．５・基・２人</t>
  </si>
  <si>
    <t>身体あり日１．０・夜０．５・深１．０</t>
  </si>
  <si>
    <t>身体あり日１．０・夜０．５・深１．０・２人</t>
  </si>
  <si>
    <t>身体あり日１．０・夜０．５・深１．０・基</t>
  </si>
  <si>
    <t>身体あり日１．０・夜０．５・深１．０・基・２人</t>
  </si>
  <si>
    <t>身体あり日１．０・夜０．５・深１．５</t>
  </si>
  <si>
    <t>身体あり日１．０・夜０．５・深１．５・２人</t>
  </si>
  <si>
    <t>身体あり日１．０・夜０．５・深１．５・基</t>
  </si>
  <si>
    <t>身体あり日１．０・夜０．５・深１．５・基・２人</t>
  </si>
  <si>
    <t>身体あり日１．５・夜０．５・深０．５</t>
  </si>
  <si>
    <t>身体あり日１．５・夜０．５・深０．５・２人</t>
  </si>
  <si>
    <t>身体あり日１．５・夜０．５・深０．５・基</t>
  </si>
  <si>
    <t>身体あり日１．５・夜０．５・深０．５・基・２人</t>
  </si>
  <si>
    <t>身体あり日１．５・夜０．５・深１．０</t>
  </si>
  <si>
    <t>身体あり日１．５・夜０．５・深１．０・２人</t>
  </si>
  <si>
    <t>身体あり日１．５・夜０．５・深１．０・基</t>
  </si>
  <si>
    <t>身体あり日１．５・夜０．５・深１．０・基・２人</t>
  </si>
  <si>
    <t>身体あり日２．０・夜０．５・深０．５</t>
  </si>
  <si>
    <t>身体あり日２．０・夜０．５・深０．５・２人</t>
  </si>
  <si>
    <t>身体あり日２．０・夜０．５・深０．５・基</t>
  </si>
  <si>
    <t>身体あり日２．０・夜０．５・深０．５・基・２人</t>
  </si>
  <si>
    <t>ロ　移動支援（身体介護を伴う場合）　（日中増分)</t>
    <rPh sb="2" eb="6">
      <t>イドウシエン</t>
    </rPh>
    <phoneticPr fontId="1"/>
  </si>
  <si>
    <t>身体あり日増０．５</t>
  </si>
  <si>
    <t>身体あり日増０．５・２人</t>
  </si>
  <si>
    <t>身体あり日増０．５・基</t>
  </si>
  <si>
    <t>身体あり日増０．５・基・２人</t>
  </si>
  <si>
    <t>身体あり日増１．０</t>
  </si>
  <si>
    <t>身体あり日増１．０・２人</t>
  </si>
  <si>
    <t>身体あり日増１．０・基</t>
  </si>
  <si>
    <t>身体あり日増１．０・基・２人</t>
  </si>
  <si>
    <t>身体あり日増１．５</t>
  </si>
  <si>
    <t>身体あり日増１．５・２人</t>
  </si>
  <si>
    <t>身体あり日増１．５・基</t>
  </si>
  <si>
    <t>身体あり日増１．５・基・２人</t>
  </si>
  <si>
    <t>身体あり日増２．０</t>
  </si>
  <si>
    <t>身体あり日増２．０・２人</t>
  </si>
  <si>
    <t>身体あり日増２．０・基</t>
  </si>
  <si>
    <t>身体あり日増２．０・基・２人</t>
  </si>
  <si>
    <t>身体あり日増２．５</t>
  </si>
  <si>
    <t>身体あり日増２．５・２人</t>
  </si>
  <si>
    <t>身体あり日増２．５・基</t>
  </si>
  <si>
    <t>身体あり日増２．５・基・２人</t>
  </si>
  <si>
    <t>身体あり日増３．０</t>
  </si>
  <si>
    <t>身体あり日増３．０・２人</t>
  </si>
  <si>
    <t>身体あり日増３．０・基</t>
  </si>
  <si>
    <t>身体あり日増３．０・基・２人</t>
  </si>
  <si>
    <t>身体あり日増３．５</t>
  </si>
  <si>
    <t>身体あり日増３．５・２人</t>
  </si>
  <si>
    <t>身体あり日増３．５・基</t>
  </si>
  <si>
    <t>身体あり日増３．５・基・２人</t>
  </si>
  <si>
    <t>身体あり日増４．０</t>
  </si>
  <si>
    <t>身体あり日増４．０・２人</t>
  </si>
  <si>
    <t>身体あり日増４．０・基</t>
  </si>
  <si>
    <t>身体あり日増４．０・基・２人</t>
  </si>
  <si>
    <t>身体あり日増４．５</t>
  </si>
  <si>
    <t>身体あり日増４．５・２人</t>
  </si>
  <si>
    <t>身体あり日増４．５・基</t>
  </si>
  <si>
    <t>身体あり日増４．５・基・２人</t>
  </si>
  <si>
    <t>身体あり日増５．０</t>
  </si>
  <si>
    <t>身体あり日増５．０・２人</t>
  </si>
  <si>
    <t>身体あり日増５．０・基</t>
  </si>
  <si>
    <t>身体あり日増５．０・基・２人</t>
  </si>
  <si>
    <t>身体あり日増５．５</t>
  </si>
  <si>
    <t>身体あり日増５．５・２人</t>
  </si>
  <si>
    <t>身体あり日増５．５・基</t>
  </si>
  <si>
    <t>身体あり日増５．５・基・２人</t>
  </si>
  <si>
    <t>身体あり日増６．０</t>
  </si>
  <si>
    <t>身体あり日増６．０・２人</t>
  </si>
  <si>
    <t>身体あり日増６．０・基</t>
  </si>
  <si>
    <t>身体あり日増６．０・基・２人</t>
  </si>
  <si>
    <t>身体あり日増６．５</t>
  </si>
  <si>
    <t>身体あり日増６．５・２人</t>
  </si>
  <si>
    <t>身体あり日増６．５・基</t>
  </si>
  <si>
    <t>身体あり日増６．５・基・２人</t>
  </si>
  <si>
    <t>身体あり日増７．０</t>
  </si>
  <si>
    <t>身体あり日増７．０・２人</t>
  </si>
  <si>
    <t>身体あり日増７．０・基</t>
  </si>
  <si>
    <t>身体あり日増７．０・基・２人</t>
  </si>
  <si>
    <t>身体あり日増７．５</t>
  </si>
  <si>
    <t>身体あり日増７．５・２人</t>
  </si>
  <si>
    <t>身体あり日増７．５・基</t>
  </si>
  <si>
    <t>身体あり日増７．５・基・２人</t>
  </si>
  <si>
    <t>身体あり日増８．０</t>
  </si>
  <si>
    <t>身体あり日増８．０・２人</t>
  </si>
  <si>
    <t>身体あり日増８．０・基</t>
  </si>
  <si>
    <t>身体あり日増８．０・基・２人</t>
  </si>
  <si>
    <t>身体あり日増８．５</t>
  </si>
  <si>
    <t>身体あり日増８．５・２人</t>
  </si>
  <si>
    <t>身体あり日増８．５・基</t>
  </si>
  <si>
    <t>身体あり日増８．５・基・２人</t>
  </si>
  <si>
    <t>身体あり日増９．０</t>
  </si>
  <si>
    <t>身体あり日増９．０・２人</t>
  </si>
  <si>
    <t>身体あり日増９．０・基</t>
  </si>
  <si>
    <t>身体あり日増９．０・基・２人</t>
  </si>
  <si>
    <t>身体あり日増９．５</t>
  </si>
  <si>
    <t>身体あり日増９．５・２人</t>
  </si>
  <si>
    <t>身体あり日増９．５・基</t>
  </si>
  <si>
    <t>身体あり日増９．５・基・２人</t>
  </si>
  <si>
    <t>身体あり日増１０．０</t>
  </si>
  <si>
    <t>身体あり日増１０．０・２人</t>
  </si>
  <si>
    <t>身体あり日増１０．０・基</t>
  </si>
  <si>
    <t>身体あり日増１０．０・基・２人</t>
  </si>
  <si>
    <t>身体あり日増１０．５</t>
  </si>
  <si>
    <t>身体あり日増１０．５・２人</t>
  </si>
  <si>
    <t>身体あり日増１０．５・基</t>
  </si>
  <si>
    <t>身体あり日増１０．５・基・２人</t>
  </si>
  <si>
    <t>ロ　移動支援（身体介護を伴う場合）　（早朝増分）</t>
    <rPh sb="2" eb="6">
      <t>イドウシエン</t>
    </rPh>
    <phoneticPr fontId="1"/>
  </si>
  <si>
    <t>ロ　移動支援（身体介護を伴う場合）　（夜間増分）</t>
    <rPh sb="2" eb="6">
      <t>イドウシエン</t>
    </rPh>
    <phoneticPr fontId="1"/>
  </si>
  <si>
    <t>身体あり早増０．５</t>
  </si>
  <si>
    <t>身体あり早増０．５・２人</t>
  </si>
  <si>
    <t>身体あり早増０．５・基</t>
  </si>
  <si>
    <t>身体あり早増０．５・基・２人</t>
  </si>
  <si>
    <t>身体あり早増１．０</t>
  </si>
  <si>
    <t>身体あり早増１．０・２人</t>
  </si>
  <si>
    <t>身体あり早増１．０・基</t>
  </si>
  <si>
    <t>身体あり早増１．０・基・２人</t>
  </si>
  <si>
    <t>身体あり早増１．５</t>
  </si>
  <si>
    <t>身体あり早増１．５・２人</t>
  </si>
  <si>
    <t>身体あり早増１．５・基</t>
  </si>
  <si>
    <t>身体あり早増１．５・基・２人</t>
  </si>
  <si>
    <t>身体あり早増２．０</t>
  </si>
  <si>
    <t>身体あり早増２．０・２人</t>
  </si>
  <si>
    <t>身体あり早増２．０・基</t>
  </si>
  <si>
    <t>身体あり早増２．０・基・２人</t>
  </si>
  <si>
    <t>身体あり早増２．５</t>
  </si>
  <si>
    <t>身体あり早増２．５・２人</t>
  </si>
  <si>
    <t>身体あり早増２．５・基</t>
  </si>
  <si>
    <t>身体あり早増２．５・基・２人</t>
  </si>
  <si>
    <t>身体あり夜増０．５</t>
  </si>
  <si>
    <t>身体あり夜増０．５・２人</t>
  </si>
  <si>
    <t>身体あり夜増０．５・基</t>
  </si>
  <si>
    <t>身体あり夜増０．５・基・２人</t>
  </si>
  <si>
    <t>身体あり夜増１．０</t>
  </si>
  <si>
    <t>身体あり夜増１．０・２人</t>
  </si>
  <si>
    <t>身体あり夜増１．０・基</t>
  </si>
  <si>
    <t>身体あり夜増１．０・基・２人</t>
  </si>
  <si>
    <t>身体あり夜増１．５</t>
  </si>
  <si>
    <t>身体あり夜増１．５・２人</t>
  </si>
  <si>
    <t>身体あり夜増１．５・基</t>
  </si>
  <si>
    <t>身体あり夜増１．５・基・２人</t>
  </si>
  <si>
    <t>身体あり夜増２．０</t>
  </si>
  <si>
    <t>身体あり夜増２．０・２人</t>
  </si>
  <si>
    <t>身体あり夜増２．０・基</t>
  </si>
  <si>
    <t>身体あり夜増２．０・基・２人</t>
  </si>
  <si>
    <t>身体あり夜増２．５</t>
  </si>
  <si>
    <t>身体あり夜増２．５・２人</t>
  </si>
  <si>
    <t>身体あり夜増２．５・基</t>
  </si>
  <si>
    <t>身体あり夜増２．５・基・２人</t>
  </si>
  <si>
    <t>身体あり夜増３．０</t>
  </si>
  <si>
    <t>身体あり夜増３．０・２人</t>
  </si>
  <si>
    <t>身体あり夜増３．０・基</t>
  </si>
  <si>
    <t>身体あり夜増３．０・基・２人</t>
  </si>
  <si>
    <t>身体あり夜増３．５</t>
  </si>
  <si>
    <t>身体あり夜増３．５・２人</t>
  </si>
  <si>
    <t>身体あり夜増３．５・基</t>
  </si>
  <si>
    <t>身体あり夜増３．５・基・２人</t>
  </si>
  <si>
    <t>身体あり夜増４．０</t>
  </si>
  <si>
    <t>身体あり夜増４．０・２人</t>
  </si>
  <si>
    <t>身体あり夜増４．０・基</t>
  </si>
  <si>
    <t>身体あり夜増４．０・基・２人</t>
  </si>
  <si>
    <t>身体あり夜増４．５</t>
  </si>
  <si>
    <t>身体あり夜増４．５・２人</t>
  </si>
  <si>
    <t>身体あり夜増４．５・基</t>
  </si>
  <si>
    <t>身体あり夜増４．５・基・２人</t>
  </si>
  <si>
    <t>ロ　移動支援（身体介護を伴う場合）　（深夜増分）</t>
    <rPh sb="2" eb="6">
      <t>イドウシエン</t>
    </rPh>
    <phoneticPr fontId="1"/>
  </si>
  <si>
    <t>身体あり深増０．５</t>
  </si>
  <si>
    <t>身体あり深増０．５・２人</t>
  </si>
  <si>
    <t>身体あり深増０．５・基</t>
  </si>
  <si>
    <t>身体あり深増０．５・基・２人</t>
  </si>
  <si>
    <t>身体あり深増１．０</t>
  </si>
  <si>
    <t>身体あり深増１．０・２人</t>
  </si>
  <si>
    <t>身体あり深増１．０・基</t>
  </si>
  <si>
    <t>身体あり深増１．０・基・２人</t>
  </si>
  <si>
    <t>身体あり深増１．５</t>
  </si>
  <si>
    <t>身体あり深増１．５・２人</t>
  </si>
  <si>
    <t>身体あり深増１．５・基</t>
  </si>
  <si>
    <t>身体あり深増１．５・基・２人</t>
  </si>
  <si>
    <t>身体あり深増２．０</t>
  </si>
  <si>
    <t>身体あり深増２．０・２人</t>
  </si>
  <si>
    <t>身体あり深増２．０・基</t>
  </si>
  <si>
    <t>身体あり深増２．０・基・２人</t>
  </si>
  <si>
    <t>身体あり深増２．５</t>
  </si>
  <si>
    <t>身体あり深増２．５・２人</t>
  </si>
  <si>
    <t>身体あり深増２．５・基</t>
  </si>
  <si>
    <t>身体あり深増２．５・基・２人</t>
  </si>
  <si>
    <t>身体あり深増３．０</t>
  </si>
  <si>
    <t>身体あり深増３．０・２人</t>
  </si>
  <si>
    <t>身体あり深増３．０・基</t>
  </si>
  <si>
    <t>身体あり深増３．０・基・２人</t>
  </si>
  <si>
    <t>身体あり深増３．５</t>
  </si>
  <si>
    <t>身体あり深増３．５・２人</t>
  </si>
  <si>
    <t>身体あり深増３．５・基</t>
  </si>
  <si>
    <t>身体あり深増３．５・基・２人</t>
  </si>
  <si>
    <t>身体あり深増４．０</t>
  </si>
  <si>
    <t>身体あり深増４．０・２人</t>
  </si>
  <si>
    <t>身体あり深増４．０・基</t>
  </si>
  <si>
    <t>身体あり深増４．０・基・２人</t>
  </si>
  <si>
    <t>身体あり深増４．５</t>
  </si>
  <si>
    <t>身体あり深増４．５・２人</t>
  </si>
  <si>
    <t>身体あり深増４．５・基</t>
  </si>
  <si>
    <t>身体あり深増４．５・基・２人</t>
  </si>
  <si>
    <t>身体あり深増５．０</t>
  </si>
  <si>
    <t>身体あり深増５．０・２人</t>
  </si>
  <si>
    <t>身体あり深増５．０・基</t>
  </si>
  <si>
    <t>身体あり深増５．０・基・２人</t>
  </si>
  <si>
    <t>身体あり深増５．５</t>
  </si>
  <si>
    <t>身体あり深増５．５・２人</t>
  </si>
  <si>
    <t>身体あり深増５．５・基</t>
  </si>
  <si>
    <t>身体あり深増５．５・基・２人</t>
  </si>
  <si>
    <t>身体あり深増６．０</t>
  </si>
  <si>
    <t>身体あり深増６．０・２人</t>
  </si>
  <si>
    <t>身体あり深増６．０・基</t>
  </si>
  <si>
    <t>身体あり深増６．０・基・２人</t>
  </si>
  <si>
    <t>身体あり深増６．５</t>
  </si>
  <si>
    <t>身体あり深増６．５・２人</t>
  </si>
  <si>
    <t>身体あり深増６．５・基</t>
  </si>
  <si>
    <t>身体あり深増６．５・基・２人</t>
  </si>
  <si>
    <t>ニ　移動支援（身体介護を伴わない場合）　（日中のみ）</t>
    <rPh sb="2" eb="6">
      <t>イドウシエン</t>
    </rPh>
    <phoneticPr fontId="1"/>
  </si>
  <si>
    <t>身体なし日０．５</t>
  </si>
  <si>
    <t>身体なし日０．５・２人</t>
  </si>
  <si>
    <t>身体なし日０．５・基</t>
  </si>
  <si>
    <t>身体なし日０．５・基・２人</t>
  </si>
  <si>
    <t>身体なし日１．０</t>
  </si>
  <si>
    <t>身体なし日１．０・２人</t>
  </si>
  <si>
    <t>身体なし日１．０・基</t>
  </si>
  <si>
    <t>身体なし日１．０・基・２人</t>
  </si>
  <si>
    <t>身体なし日１．５</t>
  </si>
  <si>
    <t>身体なし日１．５・２人</t>
  </si>
  <si>
    <t>身体なし日１．５・基</t>
  </si>
  <si>
    <t>身体なし日１．５・基・２人</t>
  </si>
  <si>
    <t>身体なし日２．０</t>
  </si>
  <si>
    <t>身体なし日２．０・２人</t>
  </si>
  <si>
    <t>身体なし日２．０・基</t>
  </si>
  <si>
    <t>身体なし日２．０・基・２人</t>
  </si>
  <si>
    <t>身体なし日２．５</t>
  </si>
  <si>
    <t>身体なし日２．５・２人</t>
  </si>
  <si>
    <t>身体なし日２．５・基</t>
  </si>
  <si>
    <t>身体なし日２．５・基・２人</t>
  </si>
  <si>
    <t>身体なし日３．０</t>
  </si>
  <si>
    <t>身体なし日３．０・２人</t>
  </si>
  <si>
    <t>身体なし日３．０・基</t>
  </si>
  <si>
    <t>身体なし日３．０・基・２人</t>
  </si>
  <si>
    <t>身体なし日３．５</t>
  </si>
  <si>
    <t>身体なし日３．５・２人</t>
  </si>
  <si>
    <t>身体なし日３．５・基</t>
  </si>
  <si>
    <t>身体なし日３．５・基・２人</t>
  </si>
  <si>
    <t>身体なし日４．０</t>
  </si>
  <si>
    <t>身体なし日４．０・２人</t>
  </si>
  <si>
    <t>身体なし日４．０・基</t>
  </si>
  <si>
    <t>身体なし日４．０・基・２人</t>
  </si>
  <si>
    <t>身体なし日４．５</t>
  </si>
  <si>
    <t>身体なし日４．５・２人</t>
  </si>
  <si>
    <t>身体なし日４．５・基</t>
  </si>
  <si>
    <t>身体なし日４．５・基・２人</t>
  </si>
  <si>
    <t>身体なし日５．０</t>
  </si>
  <si>
    <t>身体なし日５．０・２人</t>
  </si>
  <si>
    <t>身体なし日５．０・基</t>
  </si>
  <si>
    <t>身体なし日５．０・基・２人</t>
  </si>
  <si>
    <t>身体なし日５．５</t>
  </si>
  <si>
    <t>身体なし日５．５・２人</t>
  </si>
  <si>
    <t>身体なし日５．５・基</t>
  </si>
  <si>
    <t>身体なし日５．５・基・２人</t>
  </si>
  <si>
    <t>身体なし日６．０</t>
  </si>
  <si>
    <t>身体なし日６．０・２人</t>
  </si>
  <si>
    <t>身体なし日６．０・基</t>
  </si>
  <si>
    <t>身体なし日６．０・基・２人</t>
  </si>
  <si>
    <t>身体なし日６．５</t>
  </si>
  <si>
    <t>身体なし日６．５・２人</t>
  </si>
  <si>
    <t>身体なし日６．５・基</t>
  </si>
  <si>
    <t>身体なし日６．５・基・２人</t>
  </si>
  <si>
    <t>身体なし日７．０</t>
  </si>
  <si>
    <t>身体なし日７．０・２人</t>
  </si>
  <si>
    <t>身体なし日７．０・基</t>
  </si>
  <si>
    <t>身体なし日７．０・基・２人</t>
  </si>
  <si>
    <t>身体なし日７．５</t>
  </si>
  <si>
    <t>身体なし日７．５・２人</t>
  </si>
  <si>
    <t>身体なし日７．５・基</t>
  </si>
  <si>
    <t>身体なし日７．５・基・２人</t>
  </si>
  <si>
    <t>身体なし日８．０</t>
  </si>
  <si>
    <t>身体なし日８．０・２人</t>
  </si>
  <si>
    <t>身体なし日８．０・基</t>
  </si>
  <si>
    <t>身体なし日８．０・基・２人</t>
  </si>
  <si>
    <t>身体なし日８．５</t>
  </si>
  <si>
    <t>身体なし日８．５・２人</t>
  </si>
  <si>
    <t>身体なし日８．５・基</t>
  </si>
  <si>
    <t>身体なし日８．５・基・２人</t>
  </si>
  <si>
    <t>身体なし日９．０</t>
  </si>
  <si>
    <t>身体なし日９．０・２人</t>
  </si>
  <si>
    <t>身体なし日９．０・基</t>
  </si>
  <si>
    <t>身体なし日９．０・基・２人</t>
  </si>
  <si>
    <t>身体なし日９．５</t>
  </si>
  <si>
    <t>身体なし日９．５・２人</t>
  </si>
  <si>
    <t>身体なし日９．５・基</t>
  </si>
  <si>
    <t>身体なし日９．５・基・２人</t>
  </si>
  <si>
    <t>身体なし日１０．０</t>
  </si>
  <si>
    <t>身体なし日１０．０・２人</t>
  </si>
  <si>
    <t>身体なし日１０．０・基</t>
  </si>
  <si>
    <t>身体なし日１０．０・基・２人</t>
  </si>
  <si>
    <t>身体なし日１０．５</t>
  </si>
  <si>
    <t>身体なし日１０．５・２人</t>
  </si>
  <si>
    <t>身体なし日１０．５・基</t>
  </si>
  <si>
    <t>身体なし日１０．５・基・２人</t>
  </si>
  <si>
    <t>ニ　移動支援（身体介護を伴わない場合）　（早朝のみ）</t>
    <rPh sb="2" eb="6">
      <t>イドウシエン</t>
    </rPh>
    <phoneticPr fontId="1"/>
  </si>
  <si>
    <t>身体なし早０．５</t>
  </si>
  <si>
    <t>身体なし早０．５・２人</t>
  </si>
  <si>
    <t>身体なし早０．５・基</t>
  </si>
  <si>
    <t>身体なし早０．５・基・２人</t>
  </si>
  <si>
    <t>身体なし早１．０</t>
  </si>
  <si>
    <t>身体なし早１．０・２人</t>
  </si>
  <si>
    <t>身体なし早１．０・基</t>
  </si>
  <si>
    <t>身体なし早１．０・基・２人</t>
  </si>
  <si>
    <t>身体なし早１．５</t>
  </si>
  <si>
    <t>身体なし早１．５・２人</t>
  </si>
  <si>
    <t>身体なし早１．５・基</t>
  </si>
  <si>
    <t>身体なし早１．５・基・２人</t>
  </si>
  <si>
    <t>身体なし早２．０</t>
  </si>
  <si>
    <t>身体なし早２．０・２人</t>
  </si>
  <si>
    <t>身体なし早２．０・基</t>
  </si>
  <si>
    <t>身体なし早２．０・基・２人</t>
  </si>
  <si>
    <t>身体なし早２．５</t>
  </si>
  <si>
    <t>身体なし早２．５・２人</t>
  </si>
  <si>
    <t>身体なし早２．５・基</t>
  </si>
  <si>
    <t>身体なし早２．５・基・２人</t>
  </si>
  <si>
    <t>ニ　移動支援（身体介護を伴わない場合）　（夜間のみ）</t>
    <rPh sb="2" eb="6">
      <t>イドウシエン</t>
    </rPh>
    <phoneticPr fontId="1"/>
  </si>
  <si>
    <t>身体なし夜０．５</t>
  </si>
  <si>
    <t>身体なし夜０．５・２人</t>
  </si>
  <si>
    <t>身体なし夜０．５・基</t>
  </si>
  <si>
    <t>身体なし夜０．５・基・２人</t>
  </si>
  <si>
    <t>身体なし夜１．０</t>
  </si>
  <si>
    <t>身体なし夜１．０・２人</t>
  </si>
  <si>
    <t>身体なし夜１．０・基</t>
  </si>
  <si>
    <t>身体なし夜１．０・基・２人</t>
  </si>
  <si>
    <t>身体なし夜１．５</t>
  </si>
  <si>
    <t>身体なし夜１．５・２人</t>
  </si>
  <si>
    <t>身体なし夜１．５・基</t>
  </si>
  <si>
    <t>身体なし夜１．５・基・２人</t>
  </si>
  <si>
    <t>身体なし夜２．０</t>
  </si>
  <si>
    <t>身体なし夜２．０・２人</t>
  </si>
  <si>
    <t>身体なし夜２．０・基</t>
  </si>
  <si>
    <t>身体なし夜２．０・基・２人</t>
  </si>
  <si>
    <t>身体なし夜２．５</t>
  </si>
  <si>
    <t>身体なし夜２．５・２人</t>
  </si>
  <si>
    <t>身体なし夜２．５・基</t>
  </si>
  <si>
    <t>身体なし夜２．５・基・２人</t>
  </si>
  <si>
    <t>身体なし夜３．０</t>
  </si>
  <si>
    <t>身体なし夜３．０・２人</t>
  </si>
  <si>
    <t>身体なし夜３．０・基</t>
  </si>
  <si>
    <t>身体なし夜３．０・基・２人</t>
  </si>
  <si>
    <t>身体なし夜３．５</t>
  </si>
  <si>
    <t>身体なし夜３．５・２人</t>
  </si>
  <si>
    <t>身体なし夜３．５・基</t>
  </si>
  <si>
    <t>身体なし夜３．５・基・２人</t>
  </si>
  <si>
    <t>身体なし夜４．０</t>
  </si>
  <si>
    <t>身体なし夜４．０・２人</t>
  </si>
  <si>
    <t>身体なし夜４．０・基</t>
  </si>
  <si>
    <t>身体なし夜４．０・基・２人</t>
  </si>
  <si>
    <t>身体なし夜４．５</t>
  </si>
  <si>
    <t>身体なし夜４．５・２人</t>
  </si>
  <si>
    <t>身体なし夜４．５・基</t>
  </si>
  <si>
    <t>身体なし夜４．５・基・２人</t>
  </si>
  <si>
    <t>身体なし深０．５</t>
  </si>
  <si>
    <t>身体なし深０．５・２人</t>
  </si>
  <si>
    <t>身体なし深０．５・基</t>
  </si>
  <si>
    <t>身体なし深０．５・基・２人</t>
  </si>
  <si>
    <t>身体なし深１．０</t>
  </si>
  <si>
    <t>身体なし深１．０・２人</t>
  </si>
  <si>
    <t>身体なし深１．０・基</t>
  </si>
  <si>
    <t>身体なし深１．０・基・２人</t>
  </si>
  <si>
    <t>身体なし深１．５</t>
  </si>
  <si>
    <t>身体なし深１．５・２人</t>
  </si>
  <si>
    <t>身体なし深１．５・基</t>
  </si>
  <si>
    <t>身体なし深１．５・基・２人</t>
  </si>
  <si>
    <t>身体なし深２．０</t>
  </si>
  <si>
    <t>身体なし深２．０・２人</t>
  </si>
  <si>
    <t>身体なし深２．０・基</t>
  </si>
  <si>
    <t>身体なし深２．０・基・２人</t>
  </si>
  <si>
    <t>身体なし深２．５</t>
  </si>
  <si>
    <t>身体なし深２．５・２人</t>
  </si>
  <si>
    <t>身体なし深２．５・基</t>
  </si>
  <si>
    <t>身体なし深２．５・基・２人</t>
  </si>
  <si>
    <t>身体なし深３．０</t>
  </si>
  <si>
    <t>身体なし深３．０・２人</t>
  </si>
  <si>
    <t>身体なし深３．０・基</t>
  </si>
  <si>
    <t>身体なし深３．０・基・２人</t>
  </si>
  <si>
    <t>身体なし深３．５</t>
  </si>
  <si>
    <t>身体なし深３．５・２人</t>
  </si>
  <si>
    <t>身体なし深３．５・基</t>
  </si>
  <si>
    <t>身体なし深３．５・基・２人</t>
  </si>
  <si>
    <t>身体なし深４．０</t>
  </si>
  <si>
    <t>身体なし深４．０・２人</t>
  </si>
  <si>
    <t>身体なし深４．０・基</t>
  </si>
  <si>
    <t>身体なし深４．０・基・２人</t>
  </si>
  <si>
    <t>身体なし深４．５</t>
  </si>
  <si>
    <t>身体なし深４．５・２人</t>
  </si>
  <si>
    <t>身体なし深４．５・基</t>
  </si>
  <si>
    <t>身体なし深４．５・基・２人</t>
  </si>
  <si>
    <t>身体なし深５．０</t>
  </si>
  <si>
    <t>身体なし深５．０・２人</t>
  </si>
  <si>
    <t>身体なし深５．０・基</t>
  </si>
  <si>
    <t>身体なし深５．０・基・２人</t>
  </si>
  <si>
    <t>身体なし深５．５</t>
  </si>
  <si>
    <t>身体なし深５．５・２人</t>
  </si>
  <si>
    <t>身体なし深５．５・基</t>
  </si>
  <si>
    <t>身体なし深５．５・基・２人</t>
  </si>
  <si>
    <t>身体なし深６．０</t>
  </si>
  <si>
    <t>身体なし深６．０・２人</t>
  </si>
  <si>
    <t>身体なし深６．０・基</t>
  </si>
  <si>
    <t>身体なし深６．０・基・２人</t>
  </si>
  <si>
    <t>身体なし深６．５</t>
  </si>
  <si>
    <t>身体なし深６．５・２人</t>
  </si>
  <si>
    <t>身体なし深６．５・基</t>
  </si>
  <si>
    <t>身体なし深６．５・基・２人</t>
  </si>
  <si>
    <t>ニ　移動支援（身体介護を伴わない場合）　（深夜のみ）</t>
    <rPh sb="2" eb="6">
      <t>イドウシエン</t>
    </rPh>
    <phoneticPr fontId="1"/>
  </si>
  <si>
    <t>ニ　移動支援（身体介護を伴わない場合）　（深夜＋早朝）</t>
    <rPh sb="2" eb="6">
      <t>イドウシエン</t>
    </rPh>
    <phoneticPr fontId="1"/>
  </si>
  <si>
    <t>ニ　移動支援（身体介護を伴わない場合）　（早朝＋日中）</t>
    <rPh sb="2" eb="6">
      <t>イドウシエン</t>
    </rPh>
    <phoneticPr fontId="1"/>
  </si>
  <si>
    <t>ニ　移動支援（身体介護を伴わない場合）　（日中＋夜間）</t>
    <rPh sb="2" eb="6">
      <t>イドウシエン</t>
    </rPh>
    <phoneticPr fontId="1"/>
  </si>
  <si>
    <t>身体なし深０．５・早０．５</t>
  </si>
  <si>
    <t>身体なし深０．５・早０．５・２人</t>
  </si>
  <si>
    <t>身体なし深０．５・早０．５・基</t>
  </si>
  <si>
    <t>身体なし深０．５・早０．５・基・２人</t>
  </si>
  <si>
    <t>身体なし深０．５・早１．０</t>
  </si>
  <si>
    <t>身体なし深０．５・早１．０・２人</t>
  </si>
  <si>
    <t>身体なし深０．５・早１．０・基</t>
  </si>
  <si>
    <t>身体なし深０．５・早１．０・基・２人</t>
  </si>
  <si>
    <t>身体なし深１．０・早０．５</t>
  </si>
  <si>
    <t>身体なし深１．０・早０．５・２人</t>
  </si>
  <si>
    <t>身体なし深１．０・早０．５・基</t>
  </si>
  <si>
    <t>身体なし深１．０・早０．５・基・２人</t>
  </si>
  <si>
    <t>身体なし早０．５・日０．５</t>
  </si>
  <si>
    <t>身体なし早０．５・日０．５・２人</t>
  </si>
  <si>
    <t>身体なし早０．５・日０．５・基</t>
  </si>
  <si>
    <t>身体なし早０．５・日０．５・基・２人</t>
  </si>
  <si>
    <t>身体なし早０．５・日１．０</t>
  </si>
  <si>
    <t>身体なし早０．５・日１．０・２人</t>
  </si>
  <si>
    <t>身体なし早０．５・日１．０・基</t>
  </si>
  <si>
    <t>身体なし早０．５・日１．０・基・２人</t>
  </si>
  <si>
    <t>身体なし早１．０・日０．５</t>
  </si>
  <si>
    <t>身体なし早１．０・日０．５・２人</t>
  </si>
  <si>
    <t>身体なし早１．０・日０．５・基</t>
  </si>
  <si>
    <t>身体なし早１．０・日０．５・基・２人</t>
  </si>
  <si>
    <t>身体なし日０．５・夜０．５</t>
  </si>
  <si>
    <t>身体なし日０．５・夜０．５・２人</t>
  </si>
  <si>
    <t>身体なし日０．５・夜０．５・基</t>
  </si>
  <si>
    <t>身体なし日０．５・夜０．５・基・２人</t>
  </si>
  <si>
    <t>身体なし日０．５・夜１．０</t>
  </si>
  <si>
    <t>身体なし日０．５・夜１．０・２人</t>
  </si>
  <si>
    <t>身体なし日０．５・夜１．０・基</t>
  </si>
  <si>
    <t>身体なし日０．５・夜１．０・基・２人</t>
  </si>
  <si>
    <t>身体なし日１．０・夜０．５</t>
  </si>
  <si>
    <t>身体なし日１．０・夜０．５・２人</t>
  </si>
  <si>
    <t>身体なし日１．０・夜０．５・基</t>
  </si>
  <si>
    <t>身体なし日１．０・夜０．５・基・２人</t>
  </si>
  <si>
    <t>ニ　移動支援（身体介護を伴わない場合）　（夜間＋深夜）</t>
    <rPh sb="2" eb="6">
      <t>イドウシエン</t>
    </rPh>
    <phoneticPr fontId="1"/>
  </si>
  <si>
    <t>ニ　移動支援（身体介護を伴わない場合）　（日を跨る場合　２日目深夜増分）</t>
    <rPh sb="2" eb="6">
      <t>イドウシエン</t>
    </rPh>
    <phoneticPr fontId="1"/>
  </si>
  <si>
    <t>身体なし夜０．５・深０．５</t>
  </si>
  <si>
    <t>身体なし夜０．５・深０．５・２人</t>
  </si>
  <si>
    <t>身体なし夜０．５・深０．５・基</t>
  </si>
  <si>
    <t>身体なし夜０．５・深０．５・基・２人</t>
  </si>
  <si>
    <t>身体なし夜０．５・深１．０</t>
  </si>
  <si>
    <t>身体なし夜０．５・深１．０・２人</t>
  </si>
  <si>
    <t>身体なし夜０．５・深１．０・基</t>
  </si>
  <si>
    <t>身体なし夜０．５・深１．０・基・２人</t>
  </si>
  <si>
    <t>身体なし夜１．０・深０．５</t>
  </si>
  <si>
    <t>身体なし夜１．０・深０．５・２人</t>
  </si>
  <si>
    <t>身体なし夜１．０・深０．５・基</t>
  </si>
  <si>
    <t>身体なし夜１．０・深０．５・基・２人</t>
  </si>
  <si>
    <t>身体なし日跨増深０．５・深０．５</t>
  </si>
  <si>
    <t>身体なし日跨増深０．５・深０．５・２人</t>
  </si>
  <si>
    <t>身体なし日跨増深０．５・深０．５・基</t>
  </si>
  <si>
    <t>身体なし日跨増深０．５・深０．５・基・２人</t>
  </si>
  <si>
    <t>身体なし日跨増深０．５・深１．０</t>
  </si>
  <si>
    <t>身体なし日跨増深０．５・深１．０・２人</t>
  </si>
  <si>
    <t>身体なし日跨増深０．５・深１．０・基</t>
  </si>
  <si>
    <t>身体なし日跨増深０．５・深１．０・基・２人</t>
  </si>
  <si>
    <t>身体なし日跨増深１．０・深０．５</t>
  </si>
  <si>
    <t>身体なし日跨増深１．０・深０．５・２人</t>
  </si>
  <si>
    <t>身体なし日跨増深１．０・深０．５・基</t>
  </si>
  <si>
    <t>身体なし日跨増深１．０・深０．５・基・２人</t>
  </si>
  <si>
    <t>ニ　移動支援（身体介護を伴わない場合）　（深夜＋早朝＋日中）　　※サービス間隔が２時間未満の場合</t>
    <rPh sb="2" eb="6">
      <t>イドウシエン</t>
    </rPh>
    <phoneticPr fontId="1"/>
  </si>
  <si>
    <t>ニ　移動支援（身体介護を伴わない場合）　（深夜＋日中）　　※サービス間隔が２時間未満の場合</t>
    <rPh sb="2" eb="6">
      <t>イドウシエン</t>
    </rPh>
    <phoneticPr fontId="1"/>
  </si>
  <si>
    <t>ニ　移動支援（身体介護を伴わない場合）　（日中＋夜間＋深夜）　　※サービス間隔が２時間未満の場合</t>
    <rPh sb="2" eb="6">
      <t>イドウシエン</t>
    </rPh>
    <phoneticPr fontId="1"/>
  </si>
  <si>
    <t>ニ　移動支援（身体介護を伴わない場合）　（日中増分)</t>
    <rPh sb="2" eb="6">
      <t>イドウシエン</t>
    </rPh>
    <phoneticPr fontId="1"/>
  </si>
  <si>
    <t>身体なし深０．５・早０．５・日０．５</t>
  </si>
  <si>
    <t>身体なし深０．５・早０．５・日０．５・２人</t>
  </si>
  <si>
    <t>身体なし深０．５・早０．５・日０．５・基</t>
  </si>
  <si>
    <t>身体なし深０．５・早０．５・日０．５・基・２人</t>
  </si>
  <si>
    <t>身体なし深０．５・日０．５</t>
  </si>
  <si>
    <t>身体なし深０．５・日０．５・２人</t>
  </si>
  <si>
    <t>身体なし深０．５・日０．５・基</t>
  </si>
  <si>
    <t>身体なし深０．５・日０．５・基・２人</t>
  </si>
  <si>
    <t>身体なし深０．５・日１．０</t>
  </si>
  <si>
    <t>身体なし深０．５・日１．０・２人</t>
  </si>
  <si>
    <t>身体なし深０．５・日１．０・基</t>
  </si>
  <si>
    <t>身体なし深０．５・日１．０・基・２人</t>
  </si>
  <si>
    <t>身体なし深１．０・日０．５</t>
  </si>
  <si>
    <t>身体なし深１．０・日０．５・２人</t>
  </si>
  <si>
    <t>身体なし深１．０・日０．５・基</t>
  </si>
  <si>
    <t>身体なし深１．０・日０．５・基・２人</t>
  </si>
  <si>
    <t>身体なし日０．５・夜０．５・深０．５</t>
  </si>
  <si>
    <t>身体なし日０．５・夜０．５・深０．５・２人</t>
  </si>
  <si>
    <t>身体なし日０．５・夜０．５・深０．５・基</t>
  </si>
  <si>
    <t>身体なし日０．５・夜０．５・深０．５・基・２人</t>
  </si>
  <si>
    <t>身体なし日増０．５</t>
  </si>
  <si>
    <t>身体なし日増０．５・２人</t>
  </si>
  <si>
    <t>身体なし日増０．５・基</t>
  </si>
  <si>
    <t>身体なし日増０．５・基・２人</t>
  </si>
  <si>
    <t>身体なし日増１．０</t>
  </si>
  <si>
    <t>身体なし日増１．０・２人</t>
  </si>
  <si>
    <t>身体なし日増１．０・基</t>
  </si>
  <si>
    <t>身体なし日増１．０・基・２人</t>
  </si>
  <si>
    <t>身体なし日増１．５</t>
  </si>
  <si>
    <t>身体なし日増１．５・２人</t>
  </si>
  <si>
    <t>身体なし日増１．５・基</t>
  </si>
  <si>
    <t>身体なし日増１．５・基・２人</t>
  </si>
  <si>
    <t>身体なし日増２．０</t>
  </si>
  <si>
    <t>身体なし日増２．０・２人</t>
  </si>
  <si>
    <t>身体なし日増２．０・基</t>
  </si>
  <si>
    <t>身体なし日増２．０・基・２人</t>
  </si>
  <si>
    <t>身体なし日増２．５</t>
  </si>
  <si>
    <t>身体なし日増２．５・２人</t>
  </si>
  <si>
    <t>身体なし日増２．５・基</t>
  </si>
  <si>
    <t>身体なし日増２．５・基・２人</t>
  </si>
  <si>
    <t>身体なし日増３．０</t>
  </si>
  <si>
    <t>身体なし日増３．０・２人</t>
  </si>
  <si>
    <t>身体なし日増３．０・基</t>
  </si>
  <si>
    <t>身体なし日増３．０・基・２人</t>
  </si>
  <si>
    <t>身体なし日増３．５</t>
  </si>
  <si>
    <t>身体なし日増３．５・２人</t>
  </si>
  <si>
    <t>身体なし日増３．５・基</t>
  </si>
  <si>
    <t>身体なし日増３．５・基・２人</t>
  </si>
  <si>
    <t>身体なし日増４．０</t>
  </si>
  <si>
    <t>身体なし日増４．０・２人</t>
  </si>
  <si>
    <t>身体なし日増４．０・基</t>
  </si>
  <si>
    <t>身体なし日増４．０・基・２人</t>
  </si>
  <si>
    <t>身体なし日増４．５</t>
  </si>
  <si>
    <t>身体なし日増４．５・２人</t>
  </si>
  <si>
    <t>身体なし日増４．５・基</t>
  </si>
  <si>
    <t>身体なし日増４．５・基・２人</t>
  </si>
  <si>
    <t>身体なし日増５．０</t>
  </si>
  <si>
    <t>身体なし日増５．０・２人</t>
  </si>
  <si>
    <t>身体なし日増５．０・基</t>
  </si>
  <si>
    <t>身体なし日増５．０・基・２人</t>
  </si>
  <si>
    <t>身体なし日増５．５</t>
  </si>
  <si>
    <t>身体なし日増５．５・２人</t>
  </si>
  <si>
    <t>身体なし日増５．５・基</t>
  </si>
  <si>
    <t>身体なし日増５．５・基・２人</t>
  </si>
  <si>
    <t>身体なし日増６．０</t>
  </si>
  <si>
    <t>身体なし日増６．０・２人</t>
  </si>
  <si>
    <t>身体なし日増６．０・基</t>
  </si>
  <si>
    <t>身体なし日増６．０・基・２人</t>
  </si>
  <si>
    <t>身体なし日増６．５</t>
  </si>
  <si>
    <t>身体なし日増６．５・２人</t>
  </si>
  <si>
    <t>身体なし日増６．５・基</t>
  </si>
  <si>
    <t>身体なし日増６．５・基・２人</t>
  </si>
  <si>
    <t>身体なし日増７．０</t>
  </si>
  <si>
    <t>身体なし日増７．０・２人</t>
  </si>
  <si>
    <t>身体なし日増７．０・基</t>
  </si>
  <si>
    <t>身体なし日増７．０・基・２人</t>
  </si>
  <si>
    <t>身体なし日増７．５</t>
  </si>
  <si>
    <t>身体なし日増７．５・２人</t>
  </si>
  <si>
    <t>身体なし日増７．５・基</t>
  </si>
  <si>
    <t>身体なし日増７．５・基・２人</t>
  </si>
  <si>
    <t>身体なし日増８．０</t>
  </si>
  <si>
    <t>身体なし日増８．０・２人</t>
  </si>
  <si>
    <t>身体なし日増８．０・基</t>
  </si>
  <si>
    <t>身体なし日増８．０・基・２人</t>
  </si>
  <si>
    <t>身体なし日増８．５</t>
  </si>
  <si>
    <t>身体なし日増８．５・２人</t>
  </si>
  <si>
    <t>身体なし日増８．５・基</t>
  </si>
  <si>
    <t>身体なし日増８．５・基・２人</t>
  </si>
  <si>
    <t>身体なし日増９．０</t>
  </si>
  <si>
    <t>身体なし日増９．０・２人</t>
  </si>
  <si>
    <t>身体なし日増９．０・基</t>
  </si>
  <si>
    <t>身体なし日増９．０・基・２人</t>
  </si>
  <si>
    <t>身体なし日増９．５</t>
  </si>
  <si>
    <t>身体なし日増９．５・２人</t>
  </si>
  <si>
    <t>身体なし日増９．５・基</t>
  </si>
  <si>
    <t>身体なし日増９．５・基・２人</t>
  </si>
  <si>
    <t>身体なし日増１０．０</t>
  </si>
  <si>
    <t>身体なし日増１０．０・２人</t>
  </si>
  <si>
    <t>身体なし日増１０．０・基</t>
  </si>
  <si>
    <t>身体なし日増１０．０・基・２人</t>
  </si>
  <si>
    <t>身体なし日増１０．５</t>
  </si>
  <si>
    <t>身体なし日増１０．５・２人</t>
  </si>
  <si>
    <t>身体なし日増１０．５・基</t>
  </si>
  <si>
    <t>身体なし日増１０．５・基・２人</t>
  </si>
  <si>
    <t>ニ　移動支援（身体介護を伴わない場合）　（早朝増分）</t>
    <rPh sb="2" eb="6">
      <t>イドウシエン</t>
    </rPh>
    <phoneticPr fontId="1"/>
  </si>
  <si>
    <t>ニ　移動支援（身体介護を伴わない場合）　（夜間増分）</t>
    <rPh sb="2" eb="6">
      <t>イドウシエン</t>
    </rPh>
    <phoneticPr fontId="1"/>
  </si>
  <si>
    <t>身体なし早増０．５</t>
  </si>
  <si>
    <t>身体なし早増０．５・２人</t>
  </si>
  <si>
    <t>身体なし早増０．５・基</t>
  </si>
  <si>
    <t>身体なし早増０．５・基・２人</t>
  </si>
  <si>
    <t>身体なし早増１．０</t>
  </si>
  <si>
    <t>身体なし早増１．０・２人</t>
  </si>
  <si>
    <t>身体なし早増１．０・基</t>
  </si>
  <si>
    <t>身体なし早増１．０・基・２人</t>
  </si>
  <si>
    <t>身体なし早増１．５</t>
  </si>
  <si>
    <t>身体なし早増１．５・２人</t>
  </si>
  <si>
    <t>身体なし早増１．５・基</t>
  </si>
  <si>
    <t>身体なし早増１．５・基・２人</t>
  </si>
  <si>
    <t>身体なし早増２．０</t>
  </si>
  <si>
    <t>身体なし早増２．０・２人</t>
  </si>
  <si>
    <t>身体なし早増２．０・基</t>
  </si>
  <si>
    <t>身体なし早増２．０・基・２人</t>
  </si>
  <si>
    <t>身体なし早増２．５</t>
  </si>
  <si>
    <t>身体なし早増２．５・２人</t>
  </si>
  <si>
    <t>身体なし早増２．５・基</t>
  </si>
  <si>
    <t>身体なし早増２．５・基・２人</t>
  </si>
  <si>
    <t>身体なし夜増０．５</t>
  </si>
  <si>
    <t>身体なし夜増０．５・２人</t>
  </si>
  <si>
    <t>身体なし夜増０．５・基</t>
  </si>
  <si>
    <t>身体なし夜増０．５・基・２人</t>
  </si>
  <si>
    <t>身体なし夜増１．０</t>
  </si>
  <si>
    <t>身体なし夜増１．０・２人</t>
  </si>
  <si>
    <t>身体なし夜増１．０・基</t>
  </si>
  <si>
    <t>身体なし夜増１．０・基・２人</t>
  </si>
  <si>
    <t>身体なし夜増１．５</t>
  </si>
  <si>
    <t>身体なし夜増１．５・２人</t>
  </si>
  <si>
    <t>身体なし夜増１．５・基</t>
  </si>
  <si>
    <t>身体なし夜増１．５・基・２人</t>
  </si>
  <si>
    <t>身体なし夜増２．０</t>
  </si>
  <si>
    <t>身体なし夜増２．０・２人</t>
  </si>
  <si>
    <t>身体なし夜増２．０・基</t>
  </si>
  <si>
    <t>身体なし夜増２．０・基・２人</t>
  </si>
  <si>
    <t>身体なし夜増２．５</t>
  </si>
  <si>
    <t>身体なし夜増２．５・２人</t>
  </si>
  <si>
    <t>身体なし夜増２．５・基</t>
  </si>
  <si>
    <t>身体なし夜増２．５・基・２人</t>
  </si>
  <si>
    <t>身体なし夜増３．０</t>
  </si>
  <si>
    <t>身体なし夜増３．０・２人</t>
  </si>
  <si>
    <t>身体なし夜増３．０・基</t>
  </si>
  <si>
    <t>身体なし夜増３．０・基・２人</t>
  </si>
  <si>
    <t>身体なし夜増３．５</t>
  </si>
  <si>
    <t>身体なし夜増３．５・２人</t>
  </si>
  <si>
    <t>身体なし夜増３．５・基</t>
  </si>
  <si>
    <t>身体なし夜増３．５・基・２人</t>
  </si>
  <si>
    <t>身体なし夜増４．０</t>
  </si>
  <si>
    <t>身体なし夜増４．０・２人</t>
  </si>
  <si>
    <t>身体なし夜増４．０・基</t>
  </si>
  <si>
    <t>身体なし夜増４．０・基・２人</t>
  </si>
  <si>
    <t>身体なし夜増４．５</t>
  </si>
  <si>
    <t>身体なし夜増４．５・２人</t>
  </si>
  <si>
    <t>身体なし夜増４．５・基</t>
  </si>
  <si>
    <t>身体なし夜増４．５・基・２人</t>
  </si>
  <si>
    <t>ニ　移動支援（身体介護を伴わない場合）　（深夜増分）</t>
    <rPh sb="2" eb="6">
      <t>イドウシエン</t>
    </rPh>
    <phoneticPr fontId="1"/>
  </si>
  <si>
    <t>身体なし深増０．５</t>
  </si>
  <si>
    <t>身体なし深増０．５・２人</t>
  </si>
  <si>
    <t>身体なし深増０．５・基</t>
  </si>
  <si>
    <t>身体なし深増０．５・基・２人</t>
  </si>
  <si>
    <t>身体なし深増１．０</t>
  </si>
  <si>
    <t>身体なし深増１．０・２人</t>
  </si>
  <si>
    <t>身体なし深増１．０・基</t>
  </si>
  <si>
    <t>身体なし深増１．０・基・２人</t>
  </si>
  <si>
    <t>身体なし深増１．５</t>
  </si>
  <si>
    <t>身体なし深増１．５・２人</t>
  </si>
  <si>
    <t>身体なし深増１．５・基</t>
  </si>
  <si>
    <t>身体なし深増１．５・基・２人</t>
  </si>
  <si>
    <t>身体なし深増２．０</t>
  </si>
  <si>
    <t>身体なし深増２．０・２人</t>
  </si>
  <si>
    <t>身体なし深増２．０・基</t>
  </si>
  <si>
    <t>身体なし深増２．０・基・２人</t>
  </si>
  <si>
    <t>身体なし深増２．５</t>
  </si>
  <si>
    <t>身体なし深増２．５・２人</t>
  </si>
  <si>
    <t>身体なし深増２．５・基</t>
  </si>
  <si>
    <t>身体なし深増２．５・基・２人</t>
  </si>
  <si>
    <t>身体なし深増３．０</t>
  </si>
  <si>
    <t>身体なし深増３．０・２人</t>
  </si>
  <si>
    <t>身体なし深増３．０・基</t>
  </si>
  <si>
    <t>身体なし深増３．０・基・２人</t>
  </si>
  <si>
    <t>身体なし深増３．５</t>
  </si>
  <si>
    <t>身体なし深増３．５・２人</t>
  </si>
  <si>
    <t>身体なし深増３．５・基</t>
  </si>
  <si>
    <t>身体なし深増３．５・基・２人</t>
  </si>
  <si>
    <t>身体なし深増４．０</t>
  </si>
  <si>
    <t>身体なし深増４．０・２人</t>
  </si>
  <si>
    <t>身体なし深増４．０・基</t>
  </si>
  <si>
    <t>身体なし深増４．０・基・２人</t>
  </si>
  <si>
    <t>身体なし深増４．５</t>
  </si>
  <si>
    <t>身体なし深増４．５・２人</t>
  </si>
  <si>
    <t>身体なし深増４．５・基</t>
  </si>
  <si>
    <t>身体なし深増４．５・基・２人</t>
  </si>
  <si>
    <t>身体なし深増５．０</t>
  </si>
  <si>
    <t>身体なし深増５．０・２人</t>
  </si>
  <si>
    <t>身体なし深増５．０・基</t>
  </si>
  <si>
    <t>身体なし深増５．０・基・２人</t>
  </si>
  <si>
    <t>身体なし深増５．５</t>
  </si>
  <si>
    <t>身体なし深増５．５・２人</t>
  </si>
  <si>
    <t>身体なし深増５．５・基</t>
  </si>
  <si>
    <t>身体なし深増５．５・基・２人</t>
  </si>
  <si>
    <t>身体なし深増６．０</t>
  </si>
  <si>
    <t>身体なし深増６．０・２人</t>
  </si>
  <si>
    <t>身体なし深増６．０・基</t>
  </si>
  <si>
    <t>身体なし深増６．０・基・２人</t>
  </si>
  <si>
    <t>身体なし深増６．５</t>
  </si>
  <si>
    <t>身体なし深増６．５・２人</t>
  </si>
  <si>
    <t>身体なし深増６．５・基</t>
  </si>
  <si>
    <t>身体なし深増６．５・基・２人</t>
  </si>
  <si>
    <t>一回につき</t>
    <rPh sb="0" eb="2">
      <t>イッカイ</t>
    </rPh>
    <phoneticPr fontId="1"/>
  </si>
  <si>
    <t>移動支援上限額管理加算</t>
    <rPh sb="0" eb="4">
      <t>イドウシエン</t>
    </rPh>
    <phoneticPr fontId="28"/>
  </si>
  <si>
    <t>(2)日中 ３０分超 １時間以下</t>
  </si>
  <si>
    <t>(1)日中 ３０分以下</t>
  </si>
  <si>
    <t>(3)日中 １時間超 １時間３０分以下</t>
  </si>
  <si>
    <t>(4)日中 １時間３０分超 ２時間以下</t>
  </si>
  <si>
    <t>(5)日中 ２時間超 ２時間３０分以下</t>
  </si>
  <si>
    <t>(6)日中 ２時間３０分超 ３時間以下</t>
  </si>
  <si>
    <t>(7)日中 ３時間超 ３時間３０分以下</t>
  </si>
  <si>
    <t>(8)日中 ３時間３０分超 ４時間以下</t>
  </si>
  <si>
    <t>(9)日中 ４時間超 ４時間３０分以下</t>
  </si>
  <si>
    <t>(10)日中 ４時間３０分超 ５時間以下</t>
  </si>
  <si>
    <t>(11)日中 ５時間超 ５時間３０分以下</t>
  </si>
  <si>
    <t>(12)日中 ５時間３０分超 ６時間以下</t>
  </si>
  <si>
    <t>(13)日中 ６時間超 ６時間３０分以下</t>
  </si>
  <si>
    <t>(14)日中 ６時間３０分超 ７時間以下</t>
  </si>
  <si>
    <t>(15)日中 ７時間超 ７時間３０分以下</t>
  </si>
  <si>
    <t>(16)日中 ７時間３０分超 ８時間以下</t>
  </si>
  <si>
    <t>(17)日中 ８時間超 ８時間３０分以下</t>
  </si>
  <si>
    <t>(18)日中 ８時間３０分超 ９時間以下</t>
  </si>
  <si>
    <t>(19)日中 ９時間超 ９時間３０分以下</t>
  </si>
  <si>
    <t>(20)日中 ９時間３０分超 １０時間以下</t>
  </si>
  <si>
    <t>(21)日中 １０時間超 １０時間３０分以下</t>
  </si>
  <si>
    <t>(1)早朝 ３０分以下</t>
  </si>
  <si>
    <t>(2)早朝 ３０分超 １時間以下</t>
  </si>
  <si>
    <t>(3)早朝 １時間超 １時間３０分以下</t>
  </si>
  <si>
    <t>(4)早朝 １時間３０分超 ２時間以下</t>
  </si>
  <si>
    <t>(5)早朝 ２時間超 ２時間３０分以下</t>
  </si>
  <si>
    <t>(1)夜間 ３０分以下</t>
  </si>
  <si>
    <t>(2)夜間 ３０分超 １時間以下</t>
  </si>
  <si>
    <t>(3)夜間 １時間超 １時間３０分以下</t>
  </si>
  <si>
    <t>(4)夜間 １時間３０分超 ２時間以下</t>
  </si>
  <si>
    <t>(5)夜間 ２時間超 ２時間３０分以下</t>
  </si>
  <si>
    <t>(6)夜間 ２時間３０分超 ３時間以下</t>
  </si>
  <si>
    <t>(7)夜間 ３時間超 ３時間３０分以下</t>
  </si>
  <si>
    <t>(8)夜間 ３時間３０分超 ４時間以下</t>
  </si>
  <si>
    <t>(9)夜間 ４時間超 ４時間３０分以下</t>
  </si>
  <si>
    <t>(1)深夜 ３０分以下</t>
  </si>
  <si>
    <t>(2)深夜 ３０分超 １時間以下</t>
  </si>
  <si>
    <t>(3)深夜 １時間超 １時間３０分以下</t>
  </si>
  <si>
    <t>(4)深夜 １時間３０分超 ２時間以下</t>
  </si>
  <si>
    <t>(5)深夜 ２時間超 ２時間３０分以下</t>
  </si>
  <si>
    <t>(6)深夜 ２時間３０分超 ３時間以下</t>
  </si>
  <si>
    <t>(7)深夜 ３時間超 ３時間３０分以下</t>
  </si>
  <si>
    <t>(8)深夜 ３時間３０分超 ４時間以下</t>
  </si>
  <si>
    <t>(9)深夜 ４時間超 ４時間３０分以下</t>
  </si>
  <si>
    <t>(10)深夜 ４時間３０分超 ５時間以下</t>
  </si>
  <si>
    <t>(11)深夜 ５時間超 ５時間３０分以下</t>
  </si>
  <si>
    <t>(12)深夜 ５時間３０分超 ６時間以下</t>
  </si>
  <si>
    <t>(13)深夜 ６時間超 ６時間３０分以下</t>
  </si>
  <si>
    <t>(一)早朝 ３０分以下</t>
  </si>
  <si>
    <t>(二)早朝 ３０分超 １時間以下</t>
  </si>
  <si>
    <t>(三)早朝 １時間超 １時間３０分以下</t>
  </si>
  <si>
    <t>(四)早朝 １時間３０分超 ２時間以下</t>
  </si>
  <si>
    <t>(五)早朝 ２時間超 ２時間３０分以下</t>
  </si>
  <si>
    <t>(一)日中 ３０分以下</t>
  </si>
  <si>
    <t>(二)日中 ３０分超 １時間以下</t>
  </si>
  <si>
    <t>(三)日中 １時間超 １時間３０分以下</t>
  </si>
  <si>
    <t>(四)日中 １時間３０分超 ２時間以下</t>
  </si>
  <si>
    <t>(五)日中 ２時間超 ２時間３０分以下</t>
  </si>
  <si>
    <t>(一)夜間 ３０分以下</t>
  </si>
  <si>
    <t>(二)夜間 ３０分超 １時間以下</t>
  </si>
  <si>
    <t>(三)夜間 １時間超 １時間３０分以下</t>
  </si>
  <si>
    <t>(四)夜間 １時間３０分超 ２時間以下</t>
  </si>
  <si>
    <t>(五)夜間 ２時間超 ２時間３０分以下</t>
  </si>
  <si>
    <t>(一)早朝 １時間３０分超 ２時間以下</t>
    <rPh sb="12" eb="13">
      <t>チョウ</t>
    </rPh>
    <phoneticPr fontId="1"/>
  </si>
  <si>
    <t>(一)深夜 ３０分以下</t>
  </si>
  <si>
    <t>(二)深夜 ３０分超 １時間以下</t>
  </si>
  <si>
    <t>(三)深夜 １時間超 １時間３０分以下</t>
  </si>
  <si>
    <t>(四)深夜 １時間３０分超 ２時間以下</t>
  </si>
  <si>
    <t>(五)深夜 ２時間超 ２時間３０分以下</t>
  </si>
  <si>
    <t>(一)早朝 １時間超 １時間３０分以下</t>
  </si>
  <si>
    <t>(3)深夜 ３０分以下</t>
  </si>
  <si>
    <t>(一)早朝 ３０分超 １時間以下</t>
  </si>
  <si>
    <t>(4)深夜 ３０分超 １時間以下</t>
  </si>
  <si>
    <t>(5)深夜 １時間超 １時間３０分以下</t>
  </si>
  <si>
    <t>(6)深夜 ３０分以下</t>
  </si>
  <si>
    <t>(7)深夜 ３０分超 １時間以下</t>
  </si>
  <si>
    <t>(8)深夜 １時間超 １時間３０分以下</t>
  </si>
  <si>
    <t>(9)深夜 １時間３０分超 ２時間以下</t>
  </si>
  <si>
    <t>(一)夜間 １時間３０分超 ２時間以下</t>
  </si>
  <si>
    <t>(二)夜間 １時間超 １時間３０分以下</t>
  </si>
  <si>
    <t>(一)夜間 １時間超 １時間３０分以下</t>
  </si>
  <si>
    <t>(3)日中 ３０分以下</t>
  </si>
  <si>
    <t>(一)夜間 １時間以下</t>
  </si>
  <si>
    <t>(4)日中 ３０分超 １時間以下</t>
  </si>
  <si>
    <t>(一)夜間 ３０分超 １時間以下</t>
  </si>
  <si>
    <t>(5)日中 １時間超 １時間３０分以下</t>
  </si>
  <si>
    <t>(6)日中 ３０分以下</t>
  </si>
  <si>
    <t>(7)日中 ３０分超 １時間以下</t>
  </si>
  <si>
    <t>(8)日中 １時間超 １時間３０分以下</t>
  </si>
  <si>
    <t>(9)日中 １時間３０分超 ２時間以下</t>
  </si>
  <si>
    <t>ロ　移動支援（身体介護を伴う場合）　（日中増分)（補正）</t>
    <rPh sb="2" eb="6">
      <t>イドウシエン</t>
    </rPh>
    <rPh sb="25" eb="27">
      <t>ホセイ</t>
    </rPh>
    <phoneticPr fontId="1"/>
  </si>
  <si>
    <t>身体あり日増０．５（補正）</t>
  </si>
  <si>
    <t>身体あり日増０．５・２人（補正）</t>
  </si>
  <si>
    <t>身体あり日増０．５・基（補正）</t>
  </si>
  <si>
    <t>身体あり日増０．５・基・２人（補正）</t>
  </si>
  <si>
    <t>身体あり日増１．０（補正）</t>
  </si>
  <si>
    <t>身体あり日増１．０・２人（補正）</t>
  </si>
  <si>
    <t>身体あり日増１．０・基（補正）</t>
  </si>
  <si>
    <t>身体あり日増１．０・基・２人（補正）</t>
  </si>
  <si>
    <t>身体あり日増１．５（補正）</t>
  </si>
  <si>
    <t>身体あり日増１．５・２人（補正）</t>
  </si>
  <si>
    <t>身体あり日増１．５・基（補正）</t>
  </si>
  <si>
    <t>身体あり日増１．５・基・２人（補正）</t>
  </si>
  <si>
    <t>身体あり日増２．０（補正）</t>
  </si>
  <si>
    <t>身体あり日増２．０・２人（補正）</t>
  </si>
  <si>
    <t>身体あり日増２．０・基（補正）</t>
  </si>
  <si>
    <t>身体あり日増２．０・基・２人（補正）</t>
  </si>
  <si>
    <t>身体あり日増２．５（補正）</t>
  </si>
  <si>
    <t>身体あり日増２．５・２人（補正）</t>
  </si>
  <si>
    <t>身体あり日増２．５・基（補正）</t>
  </si>
  <si>
    <t>身体あり日増２．５・基・２人（補正）</t>
  </si>
  <si>
    <t>身体あり日増３．０（補正）</t>
  </si>
  <si>
    <t>身体あり日増３．０・２人（補正）</t>
  </si>
  <si>
    <t>身体あり日増３．０・基（補正）</t>
  </si>
  <si>
    <t>身体あり日増３．０・基・２人（補正）</t>
  </si>
  <si>
    <t>身体あり日増３．５（補正）</t>
  </si>
  <si>
    <t>身体あり日増３．５・２人（補正）</t>
  </si>
  <si>
    <t>身体あり日増３．５・基（補正）</t>
  </si>
  <si>
    <t>身体あり日増３．５・基・２人（補正）</t>
  </si>
  <si>
    <t>身体あり日増４．０（補正）</t>
  </si>
  <si>
    <t>身体あり日増４．０・２人（補正）</t>
  </si>
  <si>
    <t>身体あり日増４．０・基（補正）</t>
  </si>
  <si>
    <t>身体あり日増４．０・基・２人（補正）</t>
  </si>
  <si>
    <t>身体あり日増４．５（補正）</t>
  </si>
  <si>
    <t>身体あり日増４．５・２人（補正）</t>
  </si>
  <si>
    <t>身体あり日増４．５・基（補正）</t>
  </si>
  <si>
    <t>身体あり日増４．５・基・２人（補正）</t>
  </si>
  <si>
    <t>身体あり日増５．０（補正）</t>
  </si>
  <si>
    <t>身体あり日増５．０・２人（補正）</t>
  </si>
  <si>
    <t>身体あり日増５．０・基（補正）</t>
  </si>
  <si>
    <t>身体あり日増５．０・基・２人（補正）</t>
  </si>
  <si>
    <t>身体あり日増５．５（補正）</t>
  </si>
  <si>
    <t>身体あり日増５．５・２人（補正）</t>
  </si>
  <si>
    <t>身体あり日増５．５・基（補正）</t>
  </si>
  <si>
    <t>身体あり日増５．５・基・２人（補正）</t>
  </si>
  <si>
    <t>身体あり日増６．０（補正）</t>
  </si>
  <si>
    <t>身体あり日増６．０・２人（補正）</t>
  </si>
  <si>
    <t>身体あり日増６．０・基（補正）</t>
  </si>
  <si>
    <t>身体あり日増６．０・基・２人（補正）</t>
  </si>
  <si>
    <t>身体あり日増６．５（補正）</t>
  </si>
  <si>
    <t>身体あり日増６．５・２人（補正）</t>
  </si>
  <si>
    <t>身体あり日増６．５・基（補正）</t>
  </si>
  <si>
    <t>身体あり日増６．５・基・２人（補正）</t>
  </si>
  <si>
    <t>身体あり日増７．０（補正）</t>
  </si>
  <si>
    <t>身体あり日増７．０・２人（補正）</t>
  </si>
  <si>
    <t>身体あり日増７．０・基（補正）</t>
  </si>
  <si>
    <t>身体あり日増７．０・基・２人（補正）</t>
  </si>
  <si>
    <t>身体あり日増７．５（補正）</t>
  </si>
  <si>
    <t>身体あり日増７．５・２人（補正）</t>
  </si>
  <si>
    <t>身体あり日増７．５・基（補正）</t>
  </si>
  <si>
    <t>身体あり日増７．５・基・２人（補正）</t>
  </si>
  <si>
    <t>身体あり日増８．０（補正）</t>
  </si>
  <si>
    <t>身体あり日増８．０・２人（補正）</t>
  </si>
  <si>
    <t>身体あり日増８．０・基（補正）</t>
  </si>
  <si>
    <t>身体あり日増８．０・基・２人（補正）</t>
  </si>
  <si>
    <t>身体あり日増８．５（補正）</t>
  </si>
  <si>
    <t>身体あり日増８．５・２人（補正）</t>
  </si>
  <si>
    <t>身体あり日増８．５・基（補正）</t>
  </si>
  <si>
    <t>身体あり日増８．５・基・２人（補正）</t>
  </si>
  <si>
    <t>身体あり日増９．０（補正）</t>
  </si>
  <si>
    <t>身体あり日増９．０・２人（補正）</t>
  </si>
  <si>
    <t>身体あり日増９．０・基（補正）</t>
  </si>
  <si>
    <t>身体あり日増９．０・基・２人（補正）</t>
  </si>
  <si>
    <t>身体あり日増９．５（補正）</t>
  </si>
  <si>
    <t>身体あり日増９．５・２人（補正）</t>
  </si>
  <si>
    <t>身体あり日増９．５・基（補正）</t>
  </si>
  <si>
    <t>身体あり日増９．５・基・２人（補正）</t>
  </si>
  <si>
    <t>身体あり日増１０．０（補正）</t>
  </si>
  <si>
    <t>身体あり日増１０．０・２人（補正）</t>
  </si>
  <si>
    <t>身体あり日増１０．０・基（補正）</t>
  </si>
  <si>
    <t>身体あり日増１０．０・基・２人（補正）</t>
  </si>
  <si>
    <t>身体あり日増１０．５（補正）</t>
  </si>
  <si>
    <t>身体あり日増１０．５・２人（補正）</t>
  </si>
  <si>
    <t>身体あり日増１０．５・基（補正）</t>
  </si>
  <si>
    <t>身体あり日増１０．５・基・２人（補正）</t>
  </si>
  <si>
    <t>ロ　移動支援（身体介護を伴う場合）　（早朝増分）（補正）</t>
    <rPh sb="2" eb="6">
      <t>イドウシエン</t>
    </rPh>
    <rPh sb="25" eb="27">
      <t>ホセイ</t>
    </rPh>
    <phoneticPr fontId="1"/>
  </si>
  <si>
    <t>ロ　移動支援（身体介護を伴う場合）　（夜間増分）（補正）</t>
    <rPh sb="2" eb="6">
      <t>イドウシエン</t>
    </rPh>
    <rPh sb="25" eb="27">
      <t>ホセイ</t>
    </rPh>
    <phoneticPr fontId="1"/>
  </si>
  <si>
    <t>身体あり早増０．５（補正）</t>
  </si>
  <si>
    <t>身体あり早増０．５・２人（補正）</t>
  </si>
  <si>
    <t>身体あり早増０．５・基（補正）</t>
  </si>
  <si>
    <t>身体あり早増０．５・基・２人（補正）</t>
  </si>
  <si>
    <t>身体あり早増１．０（補正）</t>
  </si>
  <si>
    <t>身体あり早増１．０・２人（補正）</t>
  </si>
  <si>
    <t>身体あり早増１．０・基（補正）</t>
  </si>
  <si>
    <t>身体あり早増１．０・基・２人（補正）</t>
  </si>
  <si>
    <t>身体あり早増１．５（補正）</t>
  </si>
  <si>
    <t>身体あり早増１．５・２人（補正）</t>
  </si>
  <si>
    <t>身体あり早増１．５・基（補正）</t>
  </si>
  <si>
    <t>身体あり早増１．５・基・２人（補正）</t>
  </si>
  <si>
    <t>身体あり早増２．０（補正）</t>
  </si>
  <si>
    <t>身体あり早増２．０・２人（補正）</t>
  </si>
  <si>
    <t>身体あり早増２．０・基（補正）</t>
  </si>
  <si>
    <t>身体あり早増２．０・基・２人（補正）</t>
  </si>
  <si>
    <t>身体あり早増２．５（補正）</t>
  </si>
  <si>
    <t>身体あり早増２．５・２人（補正）</t>
  </si>
  <si>
    <t>身体あり早増２．５・基（補正）</t>
  </si>
  <si>
    <t>身体あり早増２．５・基・２人（補正）</t>
  </si>
  <si>
    <t>身体あり夜増０．５（補正）</t>
  </si>
  <si>
    <t>身体あり夜増０．５・２人（補正）</t>
  </si>
  <si>
    <t>身体あり夜増０．５・基（補正）</t>
  </si>
  <si>
    <t>身体あり夜増０．５・基・２人（補正）</t>
  </si>
  <si>
    <t>身体あり夜増１．０（補正）</t>
  </si>
  <si>
    <t>身体あり夜増１．０・２人（補正）</t>
  </si>
  <si>
    <t>身体あり夜増１．０・基（補正）</t>
  </si>
  <si>
    <t>身体あり夜増１．０・基・２人（補正）</t>
  </si>
  <si>
    <t>身体あり夜増１．５（補正）</t>
  </si>
  <si>
    <t>身体あり夜増１．５・２人（補正）</t>
  </si>
  <si>
    <t>身体あり夜増１．５・基（補正）</t>
  </si>
  <si>
    <t>身体あり夜増１．５・基・２人（補正）</t>
  </si>
  <si>
    <t>身体あり夜増２．０（補正）</t>
  </si>
  <si>
    <t>身体あり夜増２．０・２人（補正）</t>
  </si>
  <si>
    <t>身体あり夜増２．０・基（補正）</t>
  </si>
  <si>
    <t>身体あり夜増２．０・基・２人（補正）</t>
  </si>
  <si>
    <t>身体あり夜増２．５（補正）</t>
  </si>
  <si>
    <t>身体あり夜増２．５・２人（補正）</t>
  </si>
  <si>
    <t>身体あり夜増２．５・基（補正）</t>
  </si>
  <si>
    <t>身体あり夜増２．５・基・２人（補正）</t>
  </si>
  <si>
    <t>身体あり夜増３．０（補正）</t>
  </si>
  <si>
    <t>身体あり夜増３．０・２人（補正）</t>
  </si>
  <si>
    <t>身体あり夜増３．０・基（補正）</t>
  </si>
  <si>
    <t>身体あり夜増３．０・基・２人（補正）</t>
  </si>
  <si>
    <t>身体あり夜増３．５（補正）</t>
  </si>
  <si>
    <t>身体あり夜増３．５・２人（補正）</t>
  </si>
  <si>
    <t>身体あり夜増３．５・基（補正）</t>
  </si>
  <si>
    <t>身体あり夜増３．５・基・２人（補正）</t>
  </si>
  <si>
    <t>身体あり夜増４．０（補正）</t>
  </si>
  <si>
    <t>身体あり夜増４．０・２人（補正）</t>
  </si>
  <si>
    <t>身体あり夜増４．０・基（補正）</t>
  </si>
  <si>
    <t>身体あり夜増４．０・基・２人（補正）</t>
  </si>
  <si>
    <t>身体あり夜増４．５（補正）</t>
  </si>
  <si>
    <t>身体あり夜増４．５・２人（補正）</t>
  </si>
  <si>
    <t>身体あり夜増４．５・基（補正）</t>
  </si>
  <si>
    <t>身体あり夜増４．５・基・２人（補正）</t>
  </si>
  <si>
    <t>ロ　移動支援（身体介護を伴う場合）　（深夜増分）（補正）</t>
    <rPh sb="2" eb="6">
      <t>イドウシエン</t>
    </rPh>
    <rPh sb="25" eb="27">
      <t>ホセイ</t>
    </rPh>
    <phoneticPr fontId="1"/>
  </si>
  <si>
    <t>身体あり深増０．５（補正）</t>
  </si>
  <si>
    <t>身体あり深増０．５・２人（補正）</t>
  </si>
  <si>
    <t>身体あり深増０．５・基（補正）</t>
  </si>
  <si>
    <t>身体あり深増０．５・基・２人（補正）</t>
  </si>
  <si>
    <t>身体あり深増１．０（補正）</t>
  </si>
  <si>
    <t>身体あり深増１．０・２人（補正）</t>
  </si>
  <si>
    <t>身体あり深増１．０・基（補正）</t>
  </si>
  <si>
    <t>身体あり深増１．０・基・２人（補正）</t>
  </si>
  <si>
    <t>身体あり深増１．５（補正）</t>
  </si>
  <si>
    <t>身体あり深増１．５・２人（補正）</t>
  </si>
  <si>
    <t>身体あり深増１．５・基（補正）</t>
  </si>
  <si>
    <t>身体あり深増１．５・基・２人（補正）</t>
  </si>
  <si>
    <t>身体あり深増２．０（補正）</t>
  </si>
  <si>
    <t>身体あり深増２．０・２人（補正）</t>
  </si>
  <si>
    <t>身体あり深増２．０・基（補正）</t>
  </si>
  <si>
    <t>身体あり深増２．０・基・２人（補正）</t>
  </si>
  <si>
    <t>身体あり深増２．５（補正）</t>
  </si>
  <si>
    <t>身体あり深増２．５・２人（補正）</t>
  </si>
  <si>
    <t>身体あり深増２．５・基（補正）</t>
  </si>
  <si>
    <t>身体あり深増２．５・基・２人（補正）</t>
  </si>
  <si>
    <t>身体あり深増３．０（補正）</t>
  </si>
  <si>
    <t>身体あり深増３．０・２人（補正）</t>
  </si>
  <si>
    <t>身体あり深増３．０・基（補正）</t>
  </si>
  <si>
    <t>身体あり深増３．０・基・２人（補正）</t>
  </si>
  <si>
    <t>身体あり深増３．５（補正）</t>
  </si>
  <si>
    <t>身体あり深増３．５・２人（補正）</t>
  </si>
  <si>
    <t>身体あり深増３．５・基（補正）</t>
  </si>
  <si>
    <t>身体あり深増３．５・基・２人（補正）</t>
  </si>
  <si>
    <t>身体あり深増４．０（補正）</t>
  </si>
  <si>
    <t>身体あり深増４．０・２人（補正）</t>
  </si>
  <si>
    <t>身体あり深増４．０・基（補正）</t>
  </si>
  <si>
    <t>身体あり深増４．０・基・２人（補正）</t>
  </si>
  <si>
    <t>身体あり深増４．５（補正）</t>
  </si>
  <si>
    <t>身体あり深増４．５・２人（補正）</t>
  </si>
  <si>
    <t>身体あり深増４．５・基（補正）</t>
  </si>
  <si>
    <t>身体あり深増４．５・基・２人（補正）</t>
  </si>
  <si>
    <t>身体あり深増５．０（補正）</t>
  </si>
  <si>
    <t>身体あり深増５．０・２人（補正）</t>
  </si>
  <si>
    <t>身体あり深増５．０・基（補正）</t>
  </si>
  <si>
    <t>身体あり深増５．０・基・２人（補正）</t>
  </si>
  <si>
    <t>身体あり深増５．５（補正）</t>
  </si>
  <si>
    <t>身体あり深増５．５・２人（補正）</t>
  </si>
  <si>
    <t>身体あり深増５．５・基（補正）</t>
  </si>
  <si>
    <t>身体あり深増５．５・基・２人（補正）</t>
  </si>
  <si>
    <t>身体あり深増６．０（補正）</t>
  </si>
  <si>
    <t>身体あり深増６．０・２人（補正）</t>
  </si>
  <si>
    <t>身体あり深増６．０・基（補正）</t>
  </si>
  <si>
    <t>身体あり深増６．０・基・２人（補正）</t>
  </si>
  <si>
    <t>身体あり深増６．５（補正）</t>
  </si>
  <si>
    <t>身体あり深増６．５・２人（補正）</t>
  </si>
  <si>
    <t>身体あり深増６．５・基（補正）</t>
  </si>
  <si>
    <t>身体あり深増６．５・基・２人（補正）</t>
  </si>
  <si>
    <t>(1)深夜 ３０分以下</t>
    <phoneticPr fontId="1"/>
  </si>
  <si>
    <t>(1)深夜 ３０分以下</t>
    <phoneticPr fontId="1"/>
  </si>
  <si>
    <t>J289</t>
    <phoneticPr fontId="1"/>
  </si>
  <si>
    <t>J290</t>
  </si>
  <si>
    <t>J291</t>
  </si>
  <si>
    <t>J292</t>
  </si>
  <si>
    <t>J293</t>
  </si>
  <si>
    <t>J294</t>
  </si>
  <si>
    <t>J295</t>
  </si>
  <si>
    <t>J296</t>
  </si>
  <si>
    <t>J297</t>
  </si>
  <si>
    <t>J298</t>
  </si>
  <si>
    <t>J299</t>
  </si>
  <si>
    <t>J300</t>
  </si>
  <si>
    <t>J301</t>
  </si>
  <si>
    <t>J302</t>
  </si>
  <si>
    <t>J303</t>
  </si>
  <si>
    <t>J304</t>
  </si>
  <si>
    <t>J305</t>
  </si>
  <si>
    <t>J306</t>
  </si>
  <si>
    <t>J307</t>
  </si>
  <si>
    <t>J308</t>
  </si>
  <si>
    <t>J309</t>
  </si>
  <si>
    <t>J310</t>
  </si>
  <si>
    <t>J311</t>
  </si>
  <si>
    <t>J312</t>
  </si>
  <si>
    <t>J313</t>
  </si>
  <si>
    <t>J314</t>
  </si>
  <si>
    <t>J315</t>
  </si>
  <si>
    <t>J316</t>
  </si>
  <si>
    <t>J317</t>
  </si>
  <si>
    <t>J318</t>
  </si>
  <si>
    <t>J319</t>
  </si>
  <si>
    <t>J320</t>
  </si>
  <si>
    <t>J321</t>
  </si>
  <si>
    <t>J322</t>
  </si>
  <si>
    <t>J323</t>
  </si>
  <si>
    <t>J324</t>
  </si>
  <si>
    <t>J325</t>
  </si>
  <si>
    <t>J326</t>
  </si>
  <si>
    <t>J327</t>
  </si>
  <si>
    <t>J328</t>
  </si>
  <si>
    <t>J329</t>
  </si>
  <si>
    <t>J330</t>
  </si>
  <si>
    <t>J331</t>
  </si>
  <si>
    <t>J332</t>
  </si>
  <si>
    <t>J333</t>
  </si>
  <si>
    <t>J334</t>
  </si>
  <si>
    <t>J335</t>
  </si>
  <si>
    <t>J336</t>
  </si>
  <si>
    <t>J337</t>
  </si>
  <si>
    <t>J338</t>
  </si>
  <si>
    <t>J339</t>
  </si>
  <si>
    <t>J340</t>
  </si>
  <si>
    <t>J341</t>
  </si>
  <si>
    <t>J342</t>
  </si>
  <si>
    <t>J343</t>
  </si>
  <si>
    <t>J344</t>
  </si>
  <si>
    <t>J345</t>
  </si>
  <si>
    <t>J346</t>
  </si>
  <si>
    <t>J347</t>
  </si>
  <si>
    <t>J348</t>
  </si>
  <si>
    <t>J349</t>
  </si>
  <si>
    <t>J350</t>
  </si>
  <si>
    <t>J351</t>
  </si>
  <si>
    <t>J352</t>
  </si>
  <si>
    <t>J353</t>
  </si>
  <si>
    <t>J354</t>
  </si>
  <si>
    <t>J355</t>
  </si>
  <si>
    <t>J356</t>
  </si>
  <si>
    <t>J357</t>
  </si>
  <si>
    <t>J358</t>
  </si>
  <si>
    <t>J359</t>
  </si>
  <si>
    <t>J360</t>
  </si>
  <si>
    <t>J361</t>
  </si>
  <si>
    <t>J362</t>
  </si>
  <si>
    <t>J363</t>
  </si>
  <si>
    <t>J364</t>
  </si>
  <si>
    <t>J365</t>
  </si>
  <si>
    <t>J366</t>
  </si>
  <si>
    <t>J367</t>
  </si>
  <si>
    <t>J368</t>
  </si>
  <si>
    <t>J369</t>
  </si>
  <si>
    <t>J370</t>
  </si>
  <si>
    <t>J371</t>
  </si>
  <si>
    <t>J372</t>
  </si>
  <si>
    <t>J373</t>
    <phoneticPr fontId="1"/>
  </si>
  <si>
    <t>J374</t>
  </si>
  <si>
    <t>J375</t>
  </si>
  <si>
    <t>J376</t>
  </si>
  <si>
    <t>J377</t>
  </si>
  <si>
    <t>J378</t>
  </si>
  <si>
    <t>J379</t>
  </si>
  <si>
    <t>J380</t>
  </si>
  <si>
    <t>J381</t>
  </si>
  <si>
    <t>J382</t>
  </si>
  <si>
    <t>J383</t>
  </si>
  <si>
    <t>J384</t>
  </si>
  <si>
    <t>J385</t>
  </si>
  <si>
    <t>J386</t>
  </si>
  <si>
    <t>J387</t>
  </si>
  <si>
    <t>J388</t>
  </si>
  <si>
    <t>J389</t>
  </si>
  <si>
    <t>J390</t>
  </si>
  <si>
    <t>J391</t>
  </si>
  <si>
    <t>J392</t>
  </si>
  <si>
    <t>J393</t>
    <phoneticPr fontId="1"/>
  </si>
  <si>
    <t>J394</t>
  </si>
  <si>
    <t>J395</t>
  </si>
  <si>
    <t>J396</t>
  </si>
  <si>
    <t>J397</t>
  </si>
  <si>
    <t>J398</t>
  </si>
  <si>
    <t>J399</t>
  </si>
  <si>
    <t>J400</t>
  </si>
  <si>
    <t>J401</t>
  </si>
  <si>
    <t>J402</t>
  </si>
  <si>
    <t>J403</t>
  </si>
  <si>
    <t>J404</t>
  </si>
  <si>
    <t>J405</t>
  </si>
  <si>
    <t>J406</t>
  </si>
  <si>
    <t>J407</t>
  </si>
  <si>
    <t>J408</t>
  </si>
  <si>
    <t>J409</t>
  </si>
  <si>
    <t>J410</t>
  </si>
  <si>
    <t>J411</t>
  </si>
  <si>
    <t>J412</t>
  </si>
  <si>
    <t>J413</t>
  </si>
  <si>
    <t>J414</t>
  </si>
  <si>
    <t>J415</t>
  </si>
  <si>
    <t>J416</t>
  </si>
  <si>
    <t>J417</t>
  </si>
  <si>
    <t>J418</t>
  </si>
  <si>
    <t>J419</t>
  </si>
  <si>
    <t>J420</t>
  </si>
  <si>
    <t>J421</t>
  </si>
  <si>
    <t>J422</t>
  </si>
  <si>
    <t>J423</t>
  </si>
  <si>
    <t>J424</t>
  </si>
  <si>
    <t>J425</t>
  </si>
  <si>
    <t>J426</t>
  </si>
  <si>
    <t>J427</t>
  </si>
  <si>
    <t>J428</t>
  </si>
  <si>
    <t>J429</t>
    <phoneticPr fontId="1"/>
  </si>
  <si>
    <t>J430</t>
  </si>
  <si>
    <t>J431</t>
  </si>
  <si>
    <t>J432</t>
  </si>
  <si>
    <t>J433</t>
  </si>
  <si>
    <t>J434</t>
  </si>
  <si>
    <t>J435</t>
  </si>
  <si>
    <t>J436</t>
  </si>
  <si>
    <t>J437</t>
  </si>
  <si>
    <t>J438</t>
  </si>
  <si>
    <t>J439</t>
  </si>
  <si>
    <t>J440</t>
  </si>
  <si>
    <t>J441</t>
  </si>
  <si>
    <t>J442</t>
  </si>
  <si>
    <t>J443</t>
  </si>
  <si>
    <t>J444</t>
  </si>
  <si>
    <t>J445</t>
  </si>
  <si>
    <t>J446</t>
  </si>
  <si>
    <t>J447</t>
  </si>
  <si>
    <t>J448</t>
  </si>
  <si>
    <t>J449</t>
  </si>
  <si>
    <t>J450</t>
  </si>
  <si>
    <t>J451</t>
  </si>
  <si>
    <t>J452</t>
  </si>
  <si>
    <t>J453</t>
  </si>
  <si>
    <t>J454</t>
  </si>
  <si>
    <t>J455</t>
  </si>
  <si>
    <t>J456</t>
  </si>
  <si>
    <t>J457</t>
  </si>
  <si>
    <t>J458</t>
  </si>
  <si>
    <t>J459</t>
  </si>
  <si>
    <t>J460</t>
  </si>
  <si>
    <t>J461</t>
  </si>
  <si>
    <t>J462</t>
  </si>
  <si>
    <t>J463</t>
  </si>
  <si>
    <t>J464</t>
  </si>
  <si>
    <t>J465</t>
  </si>
  <si>
    <t>J466</t>
  </si>
  <si>
    <t>J467</t>
  </si>
  <si>
    <t>J468</t>
  </si>
  <si>
    <t>J469</t>
  </si>
  <si>
    <t>J470</t>
  </si>
  <si>
    <t>J471</t>
  </si>
  <si>
    <t>J472</t>
  </si>
  <si>
    <t>J473</t>
  </si>
  <si>
    <t>J474</t>
  </si>
  <si>
    <t>J475</t>
  </si>
  <si>
    <t>J476</t>
  </si>
  <si>
    <t>J477</t>
  </si>
  <si>
    <t>J478</t>
  </si>
  <si>
    <t>J479</t>
  </si>
  <si>
    <t>J480</t>
  </si>
  <si>
    <t>(2)深夜 ３０分超 １時間以下</t>
    <phoneticPr fontId="1"/>
  </si>
  <si>
    <t>JB53</t>
    <phoneticPr fontId="1"/>
  </si>
  <si>
    <t>JB54</t>
  </si>
  <si>
    <t>JB55</t>
  </si>
  <si>
    <t>JB56</t>
  </si>
  <si>
    <t>JB57</t>
  </si>
  <si>
    <t>JB58</t>
  </si>
  <si>
    <t>JB59</t>
  </si>
  <si>
    <t>JB60</t>
  </si>
  <si>
    <t>JB61</t>
  </si>
  <si>
    <t>JB62</t>
  </si>
  <si>
    <t>JB63</t>
  </si>
  <si>
    <t>JB64</t>
  </si>
  <si>
    <t>JB65</t>
  </si>
  <si>
    <t>JB66</t>
  </si>
  <si>
    <t>JB67</t>
  </si>
  <si>
    <t>JB68</t>
  </si>
  <si>
    <t>JB69</t>
  </si>
  <si>
    <t>JB70</t>
  </si>
  <si>
    <t>JB71</t>
  </si>
  <si>
    <t>JB72</t>
  </si>
  <si>
    <t>JB73</t>
  </si>
  <si>
    <t>JB74</t>
  </si>
  <si>
    <t>JB75</t>
  </si>
  <si>
    <t>JB76</t>
  </si>
  <si>
    <t>JB77</t>
  </si>
  <si>
    <t>JB78</t>
  </si>
  <si>
    <t>JB79</t>
  </si>
  <si>
    <t>JB80</t>
  </si>
  <si>
    <t>JB81</t>
  </si>
  <si>
    <t>JB82</t>
  </si>
  <si>
    <t>JB83</t>
  </si>
  <si>
    <t>JB84</t>
  </si>
  <si>
    <t>JB85</t>
  </si>
  <si>
    <t>JB86</t>
  </si>
  <si>
    <t>JB87</t>
  </si>
  <si>
    <t>JB88</t>
  </si>
  <si>
    <t>JB89</t>
  </si>
  <si>
    <t>JB90</t>
  </si>
  <si>
    <t>JB91</t>
  </si>
  <si>
    <t>JB92</t>
  </si>
  <si>
    <t>JB93</t>
  </si>
  <si>
    <t>JB94</t>
  </si>
  <si>
    <t>JB95</t>
  </si>
  <si>
    <t>JB96</t>
  </si>
  <si>
    <t>JB97</t>
  </si>
  <si>
    <t>JB98</t>
  </si>
  <si>
    <t>JB99</t>
  </si>
  <si>
    <t>JC00</t>
    <phoneticPr fontId="1"/>
  </si>
  <si>
    <t>JC01</t>
  </si>
  <si>
    <t>JC02</t>
  </si>
  <si>
    <t>JC03</t>
  </si>
  <si>
    <t>JC04</t>
  </si>
  <si>
    <t>JC05</t>
  </si>
  <si>
    <t>JC06</t>
  </si>
  <si>
    <t>JC07</t>
  </si>
  <si>
    <t>JC08</t>
  </si>
  <si>
    <t>JC09</t>
  </si>
  <si>
    <t>JC10</t>
  </si>
  <si>
    <t>JC11</t>
  </si>
  <si>
    <t>JC12</t>
  </si>
  <si>
    <t>JC13</t>
  </si>
  <si>
    <t>JC14</t>
  </si>
  <si>
    <t>JC15</t>
  </si>
  <si>
    <t>JC16</t>
  </si>
  <si>
    <t>JC17</t>
  </si>
  <si>
    <t>JC18</t>
  </si>
  <si>
    <t>JC19</t>
  </si>
  <si>
    <t>JC20</t>
  </si>
  <si>
    <t>JC21</t>
  </si>
  <si>
    <t>JC22</t>
  </si>
  <si>
    <t>JC23</t>
  </si>
  <si>
    <t>JC24</t>
  </si>
  <si>
    <t>JC25</t>
  </si>
  <si>
    <t>JC26</t>
  </si>
  <si>
    <t>JC27</t>
  </si>
  <si>
    <t>JC28</t>
  </si>
  <si>
    <t>JC29</t>
  </si>
  <si>
    <t>JC30</t>
  </si>
  <si>
    <t>JC31</t>
  </si>
  <si>
    <t>JC32</t>
  </si>
  <si>
    <t>JC33</t>
  </si>
  <si>
    <t>JC34</t>
  </si>
  <si>
    <t>JC35</t>
  </si>
  <si>
    <t>JC36</t>
  </si>
  <si>
    <t>JC37</t>
    <phoneticPr fontId="1"/>
  </si>
  <si>
    <t>JC38</t>
  </si>
  <si>
    <t>JC39</t>
  </si>
  <si>
    <t>JC40</t>
  </si>
  <si>
    <t>JC41</t>
  </si>
  <si>
    <t>JC42</t>
  </si>
  <si>
    <t>JC43</t>
  </si>
  <si>
    <t>JC44</t>
  </si>
  <si>
    <t>JC45</t>
  </si>
  <si>
    <t>JC46</t>
  </si>
  <si>
    <t>JC47</t>
  </si>
  <si>
    <t>JC48</t>
  </si>
  <si>
    <t>JC49</t>
  </si>
  <si>
    <t>JC50</t>
  </si>
  <si>
    <t>JC51</t>
  </si>
  <si>
    <t>JC52</t>
  </si>
  <si>
    <t>JC53</t>
  </si>
  <si>
    <t>JC54</t>
  </si>
  <si>
    <t>JC55</t>
  </si>
  <si>
    <t>JC56</t>
  </si>
  <si>
    <t>JC57</t>
    <phoneticPr fontId="1"/>
  </si>
  <si>
    <t>JC58</t>
  </si>
  <si>
    <t>JC59</t>
  </si>
  <si>
    <t>JC60</t>
  </si>
  <si>
    <t>JC61</t>
  </si>
  <si>
    <t>JC62</t>
  </si>
  <si>
    <t>JC63</t>
  </si>
  <si>
    <t>JC64</t>
  </si>
  <si>
    <t>JC65</t>
  </si>
  <si>
    <t>JC66</t>
  </si>
  <si>
    <t>JC67</t>
  </si>
  <si>
    <t>JC68</t>
  </si>
  <si>
    <t>JC69</t>
  </si>
  <si>
    <t>JC70</t>
  </si>
  <si>
    <t>JC71</t>
  </si>
  <si>
    <t>JC72</t>
  </si>
  <si>
    <t>JC73</t>
  </si>
  <si>
    <t>JC74</t>
  </si>
  <si>
    <t>JC75</t>
  </si>
  <si>
    <t>JC76</t>
  </si>
  <si>
    <t>JC77</t>
  </si>
  <si>
    <t>JC78</t>
  </si>
  <si>
    <t>JC79</t>
  </si>
  <si>
    <t>JC80</t>
  </si>
  <si>
    <t>JC81</t>
  </si>
  <si>
    <t>JC82</t>
  </si>
  <si>
    <t>JC83</t>
  </si>
  <si>
    <t>JC84</t>
  </si>
  <si>
    <t>JC85</t>
  </si>
  <si>
    <t>JC86</t>
  </si>
  <si>
    <t>JC87</t>
  </si>
  <si>
    <t>JC88</t>
  </si>
  <si>
    <t>JC89</t>
  </si>
  <si>
    <t>JC90</t>
  </si>
  <si>
    <t>JC91</t>
  </si>
  <si>
    <t>JC92</t>
  </si>
  <si>
    <t>JC93</t>
    <phoneticPr fontId="1"/>
  </si>
  <si>
    <t>JC94</t>
  </si>
  <si>
    <t>JC95</t>
  </si>
  <si>
    <t>JC96</t>
  </si>
  <si>
    <t>JC97</t>
  </si>
  <si>
    <t>JC98</t>
  </si>
  <si>
    <t>JC99</t>
  </si>
  <si>
    <t>JD00</t>
    <phoneticPr fontId="1"/>
  </si>
  <si>
    <t>JD01</t>
  </si>
  <si>
    <t>JD02</t>
  </si>
  <si>
    <t>JD03</t>
  </si>
  <si>
    <t>JD04</t>
  </si>
  <si>
    <t>JD05</t>
  </si>
  <si>
    <t>JD06</t>
  </si>
  <si>
    <t>JD07</t>
  </si>
  <si>
    <t>JD08</t>
  </si>
  <si>
    <t>JD09</t>
  </si>
  <si>
    <t>JD10</t>
  </si>
  <si>
    <t>JD11</t>
  </si>
  <si>
    <t>JD12</t>
  </si>
  <si>
    <t>JD13</t>
  </si>
  <si>
    <t>JD14</t>
  </si>
  <si>
    <t>JD15</t>
  </si>
  <si>
    <t>JD16</t>
  </si>
  <si>
    <t>JD17</t>
  </si>
  <si>
    <t>JD18</t>
  </si>
  <si>
    <t>JD19</t>
  </si>
  <si>
    <t>JD20</t>
  </si>
  <si>
    <t>JD21</t>
  </si>
  <si>
    <t>JD22</t>
  </si>
  <si>
    <t>JD23</t>
  </si>
  <si>
    <t>JD24</t>
  </si>
  <si>
    <t>JD25</t>
  </si>
  <si>
    <t>JD26</t>
  </si>
  <si>
    <t>JD27</t>
  </si>
  <si>
    <t>JD28</t>
  </si>
  <si>
    <t>JD29</t>
  </si>
  <si>
    <t>JD30</t>
  </si>
  <si>
    <t>JD31</t>
  </si>
  <si>
    <t>JD32</t>
  </si>
  <si>
    <t>JD33</t>
  </si>
  <si>
    <t>JD34</t>
  </si>
  <si>
    <t>JD35</t>
  </si>
  <si>
    <t>JD36</t>
  </si>
  <si>
    <t>JD37</t>
  </si>
  <si>
    <t>JD38</t>
  </si>
  <si>
    <t>JD39</t>
  </si>
  <si>
    <t>JD40</t>
  </si>
  <si>
    <t>JD41</t>
  </si>
  <si>
    <t>JD42</t>
  </si>
  <si>
    <t>JD43</t>
  </si>
  <si>
    <t>ニ　移動支援（身体介護を伴わない場合）　（日中増分)（補正）</t>
    <rPh sb="2" eb="6">
      <t>イドウシエン</t>
    </rPh>
    <rPh sb="27" eb="29">
      <t>ホセイ</t>
    </rPh>
    <phoneticPr fontId="1"/>
  </si>
  <si>
    <t>身体なし日増０．５（補正）</t>
  </si>
  <si>
    <t>身体なし日増０．５・２人（補正）</t>
  </si>
  <si>
    <t>身体なし日増０．５・基（補正）</t>
  </si>
  <si>
    <t>身体なし日増０．５・基・２人（補正）</t>
  </si>
  <si>
    <t>身体なし日増１．０（補正）</t>
  </si>
  <si>
    <t>身体なし日増１．０・２人（補正）</t>
  </si>
  <si>
    <t>身体なし日増１．０・基（補正）</t>
  </si>
  <si>
    <t>身体なし日増１．０・基・２人（補正）</t>
  </si>
  <si>
    <t>身体なし日増１．５（補正）</t>
  </si>
  <si>
    <t>身体なし日増１．５・２人（補正）</t>
  </si>
  <si>
    <t>身体なし日増１．５・基（補正）</t>
  </si>
  <si>
    <t>身体なし日増１．５・基・２人（補正）</t>
  </si>
  <si>
    <t>身体なし日増２．０（補正）</t>
  </si>
  <si>
    <t>身体なし日増２．０・２人（補正）</t>
  </si>
  <si>
    <t>身体なし日増２．０・基（補正）</t>
  </si>
  <si>
    <t>身体なし日増２．０・基・２人（補正）</t>
  </si>
  <si>
    <t>身体なし日増２．５（補正）</t>
  </si>
  <si>
    <t>身体なし日増２．５・２人（補正）</t>
  </si>
  <si>
    <t>身体なし日増２．５・基（補正）</t>
  </si>
  <si>
    <t>身体なし日増２．５・基・２人（補正）</t>
  </si>
  <si>
    <t>身体なし日増３．０（補正）</t>
  </si>
  <si>
    <t>身体なし日増３．０・２人（補正）</t>
  </si>
  <si>
    <t>身体なし日増３．０・基（補正）</t>
  </si>
  <si>
    <t>身体なし日増３．０・基・２人（補正）</t>
  </si>
  <si>
    <t>身体なし日増３．５（補正）</t>
  </si>
  <si>
    <t>身体なし日増３．５・２人（補正）</t>
  </si>
  <si>
    <t>身体なし日増３．５・基（補正）</t>
  </si>
  <si>
    <t>身体なし日増３．５・基・２人（補正）</t>
  </si>
  <si>
    <t>身体なし日増４．０（補正）</t>
  </si>
  <si>
    <t>身体なし日増４．０・２人（補正）</t>
  </si>
  <si>
    <t>身体なし日増４．０・基（補正）</t>
  </si>
  <si>
    <t>身体なし日増４．０・基・２人（補正）</t>
  </si>
  <si>
    <t>身体なし日増４．５（補正）</t>
  </si>
  <si>
    <t>身体なし日増４．５・２人（補正）</t>
  </si>
  <si>
    <t>身体なし日増４．５・基（補正）</t>
  </si>
  <si>
    <t>身体なし日増４．５・基・２人（補正）</t>
  </si>
  <si>
    <t>身体なし日増５．０（補正）</t>
  </si>
  <si>
    <t>身体なし日増５．０・２人（補正）</t>
  </si>
  <si>
    <t>身体なし日増５．０・基（補正）</t>
  </si>
  <si>
    <t>身体なし日増５．０・基・２人（補正）</t>
  </si>
  <si>
    <t>身体なし日増５．５（補正）</t>
  </si>
  <si>
    <t>身体なし日増５．５・２人（補正）</t>
  </si>
  <si>
    <t>身体なし日増５．５・基（補正）</t>
  </si>
  <si>
    <t>身体なし日増５．５・基・２人（補正）</t>
  </si>
  <si>
    <t>身体なし日増６．０（補正）</t>
  </si>
  <si>
    <t>身体なし日増６．０・２人（補正）</t>
  </si>
  <si>
    <t>身体なし日増６．０・基（補正）</t>
  </si>
  <si>
    <t>身体なし日増６．０・基・２人（補正）</t>
  </si>
  <si>
    <t>身体なし日増６．５（補正）</t>
  </si>
  <si>
    <t>身体なし日増６．５・２人（補正）</t>
  </si>
  <si>
    <t>身体なし日増６．５・基（補正）</t>
  </si>
  <si>
    <t>身体なし日増６．５・基・２人（補正）</t>
  </si>
  <si>
    <t>身体なし日増７．０（補正）</t>
  </si>
  <si>
    <t>身体なし日増７．０・２人（補正）</t>
  </si>
  <si>
    <t>身体なし日増７．０・基（補正）</t>
  </si>
  <si>
    <t>身体なし日増７．０・基・２人（補正）</t>
  </si>
  <si>
    <t>身体なし日増７．５（補正）</t>
  </si>
  <si>
    <t>身体なし日増７．５・２人（補正）</t>
  </si>
  <si>
    <t>身体なし日増７．５・基（補正）</t>
  </si>
  <si>
    <t>身体なし日増７．５・基・２人（補正）</t>
  </si>
  <si>
    <t>身体なし日増８．０（補正）</t>
  </si>
  <si>
    <t>身体なし日増８．０・２人（補正）</t>
  </si>
  <si>
    <t>身体なし日増８．０・基（補正）</t>
  </si>
  <si>
    <t>身体なし日増８．０・基・２人（補正）</t>
  </si>
  <si>
    <t>身体なし日増８．５（補正）</t>
  </si>
  <si>
    <t>身体なし日増８．５・２人（補正）</t>
  </si>
  <si>
    <t>身体なし日増８．５・基（補正）</t>
  </si>
  <si>
    <t>身体なし日増８．５・基・２人（補正）</t>
  </si>
  <si>
    <t>身体なし日増９．０（補正）</t>
  </si>
  <si>
    <t>身体なし日増９．０・２人（補正）</t>
  </si>
  <si>
    <t>身体なし日増９．０・基（補正）</t>
  </si>
  <si>
    <t>身体なし日増９．０・基・２人（補正）</t>
  </si>
  <si>
    <t>身体なし日増９．５（補正）</t>
  </si>
  <si>
    <t>身体なし日増９．５・２人（補正）</t>
  </si>
  <si>
    <t>身体なし日増９．５・基（補正）</t>
  </si>
  <si>
    <t>身体なし日増９．５・基・２人（補正）</t>
  </si>
  <si>
    <t>身体なし日増１０．０（補正）</t>
  </si>
  <si>
    <t>身体なし日増１０．０・２人（補正）</t>
  </si>
  <si>
    <t>身体なし日増１０．０・基（補正）</t>
  </si>
  <si>
    <t>身体なし日増１０．０・基・２人（補正）</t>
  </si>
  <si>
    <t>身体なし日増１０．５（補正）</t>
  </si>
  <si>
    <t>身体なし日増１０．５・２人（補正）</t>
  </si>
  <si>
    <t>身体なし日増１０．５・基（補正）</t>
  </si>
  <si>
    <t>身体なし日増１０．５・基・２人（補正）</t>
  </si>
  <si>
    <t>身体なし早増０．５（補正）</t>
  </si>
  <si>
    <t>身体なし早増０．５・２人（補正）</t>
  </si>
  <si>
    <t>身体なし早増０．５・基（補正）</t>
  </si>
  <si>
    <t>身体なし早増０．５・基・２人（補正）</t>
  </si>
  <si>
    <t>身体なし早増１．０（補正）</t>
  </si>
  <si>
    <t>身体なし早増１．０・２人（補正）</t>
  </si>
  <si>
    <t>身体なし早増１．０・基（補正）</t>
  </si>
  <si>
    <t>身体なし早増１．０・基・２人（補正）</t>
  </si>
  <si>
    <t>身体なし早増１．５（補正）</t>
  </si>
  <si>
    <t>身体なし早増１．５・２人（補正）</t>
  </si>
  <si>
    <t>身体なし早増１．５・基（補正）</t>
  </si>
  <si>
    <t>身体なし早増１．５・基・２人（補正）</t>
  </si>
  <si>
    <t>身体なし早増２．０（補正）</t>
  </si>
  <si>
    <t>身体なし早増２．０・２人（補正）</t>
  </si>
  <si>
    <t>身体なし早増２．０・基（補正）</t>
  </si>
  <si>
    <t>身体なし早増２．０・基・２人（補正）</t>
  </si>
  <si>
    <t>身体なし早増２．５（補正）</t>
  </si>
  <si>
    <t>身体なし早増２．５・２人（補正）</t>
  </si>
  <si>
    <t>身体なし早増２．５・基（補正）</t>
  </si>
  <si>
    <t>身体なし早増２．５・基・２人（補正）</t>
  </si>
  <si>
    <t>身体なし夜増０．５（補正）</t>
  </si>
  <si>
    <t>身体なし夜増０．５・２人（補正）</t>
  </si>
  <si>
    <t>身体なし夜増０．５・基（補正）</t>
  </si>
  <si>
    <t>身体なし夜増０．５・基・２人（補正）</t>
  </si>
  <si>
    <t>身体なし夜増１．０（補正）</t>
  </si>
  <si>
    <t>身体なし夜増１．０・２人（補正）</t>
  </si>
  <si>
    <t>身体なし夜増１．０・基（補正）</t>
  </si>
  <si>
    <t>身体なし夜増１．０・基・２人（補正）</t>
  </si>
  <si>
    <t>身体なし夜増１．５（補正）</t>
  </si>
  <si>
    <t>身体なし夜増１．５・２人（補正）</t>
  </si>
  <si>
    <t>身体なし夜増１．５・基（補正）</t>
  </si>
  <si>
    <t>身体なし夜増１．５・基・２人（補正）</t>
  </si>
  <si>
    <t>身体なし夜増２．０（補正）</t>
  </si>
  <si>
    <t>身体なし夜増２．０・２人（補正）</t>
  </si>
  <si>
    <t>身体なし夜増２．０・基（補正）</t>
  </si>
  <si>
    <t>身体なし夜増２．０・基・２人（補正）</t>
  </si>
  <si>
    <t>身体なし夜増２．５（補正）</t>
  </si>
  <si>
    <t>身体なし夜増２．５・２人（補正）</t>
  </si>
  <si>
    <t>身体なし夜増２．５・基（補正）</t>
  </si>
  <si>
    <t>身体なし夜増２．５・基・２人（補正）</t>
  </si>
  <si>
    <t>身体なし夜増３．０（補正）</t>
  </si>
  <si>
    <t>身体なし夜増３．０・２人（補正）</t>
  </si>
  <si>
    <t>身体なし夜増３．０・基（補正）</t>
  </si>
  <si>
    <t>身体なし夜増３．０・基・２人（補正）</t>
  </si>
  <si>
    <t>身体なし夜増３．５（補正）</t>
  </si>
  <si>
    <t>身体なし夜増３．５・２人（補正）</t>
  </si>
  <si>
    <t>身体なし夜増３．５・基（補正）</t>
  </si>
  <si>
    <t>身体なし夜増３．５・基・２人（補正）</t>
  </si>
  <si>
    <t>身体なし夜増４．０（補正）</t>
  </si>
  <si>
    <t>身体なし夜増４．０・２人（補正）</t>
  </si>
  <si>
    <t>身体なし夜増４．０・基（補正）</t>
  </si>
  <si>
    <t>身体なし夜増４．０・基・２人（補正）</t>
  </si>
  <si>
    <t>身体なし夜増４．５（補正）</t>
  </si>
  <si>
    <t>身体なし夜増４．５・２人（補正）</t>
  </si>
  <si>
    <t>身体なし夜増４．５・基（補正）</t>
  </si>
  <si>
    <t>身体なし夜増４．５・基・２人（補正）</t>
  </si>
  <si>
    <t>身体なし深増０．５（補正）</t>
  </si>
  <si>
    <t>身体なし深増０．５・２人（補正）</t>
  </si>
  <si>
    <t>身体なし深増０．５・基（補正）</t>
  </si>
  <si>
    <t>身体なし深増０．５・基・２人（補正）</t>
  </si>
  <si>
    <t>身体なし深増１．０（補正）</t>
  </si>
  <si>
    <t>身体なし深増１．０・２人（補正）</t>
  </si>
  <si>
    <t>身体なし深増１．０・基（補正）</t>
  </si>
  <si>
    <t>身体なし深増１．０・基・２人（補正）</t>
  </si>
  <si>
    <t>身体なし深増１．５（補正）</t>
  </si>
  <si>
    <t>身体なし深増１．５・２人（補正）</t>
  </si>
  <si>
    <t>身体なし深増１．５・基（補正）</t>
  </si>
  <si>
    <t>身体なし深増１．５・基・２人（補正）</t>
  </si>
  <si>
    <t>身体なし深増２．０（補正）</t>
  </si>
  <si>
    <t>身体なし深増２．０・２人（補正）</t>
  </si>
  <si>
    <t>身体なし深増２．０・基（補正）</t>
  </si>
  <si>
    <t>身体なし深増２．０・基・２人（補正）</t>
  </si>
  <si>
    <t>身体なし深増２．５（補正）</t>
  </si>
  <si>
    <t>身体なし深増２．５・２人（補正）</t>
  </si>
  <si>
    <t>身体なし深増２．５・基（補正）</t>
  </si>
  <si>
    <t>身体なし深増２．５・基・２人（補正）</t>
  </si>
  <si>
    <t>身体なし深増３．０（補正）</t>
  </si>
  <si>
    <t>身体なし深増３．０・２人（補正）</t>
  </si>
  <si>
    <t>身体なし深増３．０・基（補正）</t>
  </si>
  <si>
    <t>身体なし深増３．０・基・２人（補正）</t>
  </si>
  <si>
    <t>身体なし深増３．５（補正）</t>
  </si>
  <si>
    <t>身体なし深増３．５・２人（補正）</t>
  </si>
  <si>
    <t>身体なし深増３．５・基（補正）</t>
  </si>
  <si>
    <t>身体なし深増３．５・基・２人（補正）</t>
  </si>
  <si>
    <t>身体なし深増４．０（補正）</t>
  </si>
  <si>
    <t>身体なし深増４．０・２人（補正）</t>
  </si>
  <si>
    <t>身体なし深増４．０・基（補正）</t>
  </si>
  <si>
    <t>身体なし深増４．０・基・２人（補正）</t>
  </si>
  <si>
    <t>身体なし深増４．５（補正）</t>
  </si>
  <si>
    <t>身体なし深増４．５・２人（補正）</t>
  </si>
  <si>
    <t>身体なし深増４．５・基（補正）</t>
  </si>
  <si>
    <t>身体なし深増４．５・基・２人（補正）</t>
  </si>
  <si>
    <t>身体なし深増５．０（補正）</t>
  </si>
  <si>
    <t>身体なし深増５．０・２人（補正）</t>
  </si>
  <si>
    <t>身体なし深増５．０・基（補正）</t>
  </si>
  <si>
    <t>身体なし深増５．０・基・２人（補正）</t>
  </si>
  <si>
    <t>身体なし深増５．５（補正）</t>
  </si>
  <si>
    <t>身体なし深増５．５・２人（補正）</t>
  </si>
  <si>
    <t>身体なし深増５．５・基（補正）</t>
  </si>
  <si>
    <t>身体なし深増５．５・基・２人（補正）</t>
  </si>
  <si>
    <t>身体なし深増６．０（補正）</t>
  </si>
  <si>
    <t>身体なし深増６．０・２人（補正）</t>
  </si>
  <si>
    <t>身体なし深増６．０・基（補正）</t>
  </si>
  <si>
    <t>身体なし深増６．０・基・２人（補正）</t>
  </si>
  <si>
    <t>身体なし深増６．５（補正）</t>
  </si>
  <si>
    <t>身体なし深増６．５・２人（補正）</t>
  </si>
  <si>
    <t>身体なし深増６．５・基（補正）</t>
  </si>
  <si>
    <t>身体なし深増６．５・基・２人（補正）</t>
  </si>
  <si>
    <t>ニ　移動支援（身体介護を伴わない場合）　（早朝増分）（補正）</t>
    <rPh sb="2" eb="6">
      <t>イドウシエン</t>
    </rPh>
    <rPh sb="27" eb="29">
      <t>ホセイ</t>
    </rPh>
    <phoneticPr fontId="1"/>
  </si>
  <si>
    <t>ニ　移動支援（身体介護を伴わない場合）　（夜間増分）（補正）</t>
    <rPh sb="2" eb="6">
      <t>イドウシエン</t>
    </rPh>
    <rPh sb="27" eb="29">
      <t>ホセイ</t>
    </rPh>
    <phoneticPr fontId="1"/>
  </si>
  <si>
    <t>ニ　移動支援（身体介護を伴わない場合）　（深夜増分）（補正）</t>
    <rPh sb="2" eb="6">
      <t>イドウシエン</t>
    </rPh>
    <rPh sb="27" eb="29">
      <t>ホセイ</t>
    </rPh>
    <phoneticPr fontId="1"/>
  </si>
  <si>
    <t>頭文字のアルファベット「J」を「4」に置き換え</t>
    <rPh sb="0" eb="3">
      <t>アタマモジ</t>
    </rPh>
    <rPh sb="19" eb="20">
      <t>オ</t>
    </rPh>
    <rPh sb="21" eb="22">
      <t>カ</t>
    </rPh>
    <phoneticPr fontId="1"/>
  </si>
  <si>
    <t>　頭文字のアルファベット「JB」を「76」に置き換え</t>
    <phoneticPr fontId="1"/>
  </si>
  <si>
    <t>　頭文字のアルファベット「JC」を「77」に置き換え</t>
    <phoneticPr fontId="1"/>
  </si>
  <si>
    <t>　頭文字のアルファベット「JD」を「78」に置き換え</t>
    <phoneticPr fontId="1"/>
  </si>
  <si>
    <t>JD44</t>
    <phoneticPr fontId="1"/>
  </si>
  <si>
    <t>（R7.7.1～追加）</t>
    <rPh sb="8" eb="10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</si>
</sst>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 "/>
    <numFmt numFmtId="178" formatCode="0.0%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0"/>
      <name val="ＭＳ Ｐゴシック"/>
      <family val="2"/>
      <charset val="128"/>
    </font>
    <font>
      <sz val="10"/>
      <name val="ＭＳ Ｐゴシック"/>
      <family val="3"/>
      <charset val="128"/>
    </font>
    <font>
      <sz val="12"/>
      <name val="ＭＳ Ｐゴシック"/>
      <family val="2"/>
      <charset val="128"/>
    </font>
    <font>
      <sz val="9"/>
      <name val="ＭＳ Ｐゴシック"/>
      <family val="2"/>
      <charset val="128"/>
    </font>
    <font>
      <sz val="9"/>
      <name val="ＭＳ Ｐゴシック"/>
      <family val="3"/>
      <charset val="128"/>
    </font>
    <font>
      <sz val="8.5"/>
      <name val="ＭＳ Ｐゴシック"/>
      <family val="2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.5"/>
      <name val="ＭＳ Ｐゴシック"/>
      <family val="2"/>
      <charset val="128"/>
      <scheme val="minor"/>
    </font>
    <font>
      <sz val="8.5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0" fontId="29" fillId="0" borderId="0"/>
    <xf numFmtId="0" fontId="22" fillId="0" borderId="0">
      <alignment vertical="center"/>
    </xf>
    <xf numFmtId="0" fontId="22" fillId="0" borderId="0">
      <alignment vertical="center"/>
    </xf>
    <xf numFmtId="38" fontId="22" fillId="0" borderId="0" applyFont="0" applyFill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3" fillId="0" borderId="0" xfId="3" applyFont="1">
      <alignment vertical="center"/>
    </xf>
    <xf numFmtId="0" fontId="3" fillId="0" borderId="1" xfId="3" applyFont="1" applyBorder="1">
      <alignment vertical="center"/>
    </xf>
    <xf numFmtId="0" fontId="5" fillId="0" borderId="1" xfId="3" applyFont="1" applyBorder="1">
      <alignment vertical="center"/>
    </xf>
    <xf numFmtId="0" fontId="3" fillId="0" borderId="1" xfId="3" applyFont="1" applyBorder="1" applyAlignment="1">
      <alignment horizontal="left" vertical="top"/>
    </xf>
    <xf numFmtId="0" fontId="3" fillId="0" borderId="0" xfId="3" applyFont="1" applyAlignment="1">
      <alignment horizontal="left" vertical="top"/>
    </xf>
    <xf numFmtId="176" fontId="3" fillId="2" borderId="1" xfId="3" applyNumberFormat="1" applyFont="1" applyFill="1" applyBorder="1">
      <alignment vertical="center"/>
    </xf>
    <xf numFmtId="177" fontId="3" fillId="0" borderId="0" xfId="3" applyNumberFormat="1" applyFont="1" applyAlignment="1">
      <alignment horizontal="right" vertical="top"/>
    </xf>
    <xf numFmtId="176" fontId="3" fillId="0" borderId="1" xfId="3" applyNumberFormat="1" applyFont="1" applyBorder="1">
      <alignment vertical="center"/>
    </xf>
    <xf numFmtId="177" fontId="3" fillId="2" borderId="1" xfId="3" applyNumberFormat="1" applyFont="1" applyFill="1" applyBorder="1" applyAlignment="1">
      <alignment horizontal="right" vertical="top"/>
    </xf>
    <xf numFmtId="178" fontId="3" fillId="0" borderId="0" xfId="2" applyNumberFormat="1" applyFont="1" applyFill="1">
      <alignment vertical="center"/>
    </xf>
    <xf numFmtId="177" fontId="3" fillId="0" borderId="1" xfId="3" applyNumberFormat="1" applyFont="1" applyBorder="1" applyAlignment="1">
      <alignment horizontal="right" vertical="top"/>
    </xf>
    <xf numFmtId="0" fontId="3" fillId="0" borderId="0" xfId="3" quotePrefix="1" applyFont="1">
      <alignment vertical="center"/>
    </xf>
    <xf numFmtId="9" fontId="3" fillId="0" borderId="1" xfId="3" applyNumberFormat="1" applyFont="1" applyBorder="1" applyAlignment="1">
      <alignment horizontal="right" vertical="top"/>
    </xf>
    <xf numFmtId="9" fontId="3" fillId="0" borderId="0" xfId="3" applyNumberFormat="1" applyFont="1" applyAlignment="1">
      <alignment horizontal="right" vertical="top"/>
    </xf>
    <xf numFmtId="0" fontId="3" fillId="3" borderId="1" xfId="3" applyFont="1" applyFill="1" applyBorder="1">
      <alignment vertical="center"/>
    </xf>
    <xf numFmtId="9" fontId="3" fillId="3" borderId="1" xfId="3" applyNumberFormat="1" applyFont="1" applyFill="1" applyBorder="1" applyAlignment="1">
      <alignment horizontal="right" vertical="top"/>
    </xf>
    <xf numFmtId="0" fontId="3" fillId="2" borderId="1" xfId="3" applyFont="1" applyFill="1" applyBorder="1" applyAlignment="1">
      <alignment horizontal="right" vertical="top"/>
    </xf>
    <xf numFmtId="0" fontId="3" fillId="0" borderId="0" xfId="3" applyFont="1" applyAlignment="1">
      <alignment horizontal="right" vertical="top"/>
    </xf>
    <xf numFmtId="0" fontId="3" fillId="4" borderId="1" xfId="3" applyFont="1" applyFill="1" applyBorder="1">
      <alignment vertical="center"/>
    </xf>
    <xf numFmtId="9" fontId="3" fillId="4" borderId="1" xfId="3" applyNumberFormat="1" applyFont="1" applyFill="1" applyBorder="1">
      <alignment vertical="center"/>
    </xf>
    <xf numFmtId="9" fontId="3" fillId="0" borderId="0" xfId="3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9" fontId="9" fillId="0" borderId="0" xfId="0" applyNumberFormat="1" applyFont="1">
      <alignment vertical="center"/>
    </xf>
    <xf numFmtId="0" fontId="10" fillId="0" borderId="0" xfId="0" applyFont="1">
      <alignment vertical="center"/>
    </xf>
    <xf numFmtId="38" fontId="7" fillId="0" borderId="0" xfId="1" applyFont="1" applyFill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2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Continuous" vertical="center"/>
    </xf>
    <xf numFmtId="9" fontId="13" fillId="0" borderId="5" xfId="0" applyNumberFormat="1" applyFont="1" applyBorder="1" applyAlignment="1">
      <alignment horizontal="centerContinuous" vertical="center"/>
    </xf>
    <xf numFmtId="38" fontId="13" fillId="0" borderId="4" xfId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>
      <alignment vertical="center"/>
    </xf>
    <xf numFmtId="0" fontId="13" fillId="0" borderId="7" xfId="0" applyFont="1" applyBorder="1" applyAlignment="1">
      <alignment vertical="top"/>
    </xf>
    <xf numFmtId="0" fontId="13" fillId="0" borderId="7" xfId="0" applyFont="1" applyBorder="1">
      <alignment vertical="center"/>
    </xf>
    <xf numFmtId="9" fontId="13" fillId="0" borderId="7" xfId="0" applyNumberFormat="1" applyFont="1" applyBorder="1">
      <alignment vertical="center"/>
    </xf>
    <xf numFmtId="38" fontId="13" fillId="0" borderId="6" xfId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vertical="center" shrinkToFit="1"/>
    </xf>
    <xf numFmtId="0" fontId="8" fillId="0" borderId="0" xfId="0" applyFont="1" applyAlignment="1">
      <alignment horizontal="left" vertical="top" wrapText="1"/>
    </xf>
    <xf numFmtId="0" fontId="9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9" fillId="0" borderId="7" xfId="0" applyFont="1" applyBorder="1">
      <alignment vertical="center"/>
    </xf>
    <xf numFmtId="9" fontId="9" fillId="0" borderId="7" xfId="0" applyNumberFormat="1" applyFont="1" applyBorder="1">
      <alignment vertical="center"/>
    </xf>
    <xf numFmtId="3" fontId="14" fillId="2" borderId="6" xfId="1" applyNumberFormat="1" applyFont="1" applyFill="1" applyBorder="1">
      <alignment vertical="center"/>
    </xf>
    <xf numFmtId="0" fontId="15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10" fillId="0" borderId="2" xfId="0" applyFont="1" applyBorder="1">
      <alignment vertical="center"/>
    </xf>
    <xf numFmtId="0" fontId="9" fillId="0" borderId="11" xfId="0" applyFont="1" applyBorder="1">
      <alignment vertical="center"/>
    </xf>
    <xf numFmtId="9" fontId="9" fillId="0" borderId="11" xfId="0" applyNumberFormat="1" applyFont="1" applyBorder="1">
      <alignment vertical="center"/>
    </xf>
    <xf numFmtId="3" fontId="14" fillId="2" borderId="1" xfId="1" applyNumberFormat="1" applyFont="1" applyFill="1" applyBorder="1">
      <alignment vertical="center"/>
    </xf>
    <xf numFmtId="0" fontId="16" fillId="0" borderId="10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9" fontId="9" fillId="0" borderId="5" xfId="0" applyNumberFormat="1" applyFont="1" applyBorder="1">
      <alignment vertical="center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16" fillId="0" borderId="9" xfId="0" applyFont="1" applyBorder="1">
      <alignment vertical="center"/>
    </xf>
    <xf numFmtId="0" fontId="3" fillId="0" borderId="0" xfId="0" applyFont="1">
      <alignment vertical="center"/>
    </xf>
    <xf numFmtId="0" fontId="13" fillId="0" borderId="5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38" fontId="14" fillId="2" borderId="6" xfId="1" applyFont="1" applyFill="1" applyBorder="1">
      <alignment vertical="center"/>
    </xf>
    <xf numFmtId="0" fontId="15" fillId="0" borderId="1" xfId="0" applyFont="1" applyBorder="1" applyAlignment="1">
      <alignment vertical="center" shrinkToFit="1"/>
    </xf>
    <xf numFmtId="38" fontId="14" fillId="2" borderId="1" xfId="1" applyFont="1" applyFill="1" applyBorder="1">
      <alignment vertical="center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vertical="center" shrinkToFit="1"/>
    </xf>
    <xf numFmtId="0" fontId="16" fillId="0" borderId="0" xfId="0" applyFont="1">
      <alignment vertical="center"/>
    </xf>
    <xf numFmtId="38" fontId="14" fillId="0" borderId="0" xfId="1" applyFont="1" applyFill="1">
      <alignment vertical="center"/>
    </xf>
    <xf numFmtId="0" fontId="16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13" fillId="0" borderId="2" xfId="0" applyFont="1" applyBorder="1" applyAlignment="1">
      <alignment horizontal="centerContinuous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6" xfId="0" applyFont="1" applyBorder="1" applyAlignment="1">
      <alignment vertical="center" shrinkToFit="1"/>
    </xf>
    <xf numFmtId="0" fontId="18" fillId="0" borderId="8" xfId="0" applyFont="1" applyBorder="1">
      <alignment vertical="center"/>
    </xf>
    <xf numFmtId="3" fontId="20" fillId="2" borderId="6" xfId="1" applyNumberFormat="1" applyFont="1" applyFill="1" applyBorder="1">
      <alignment vertical="center"/>
    </xf>
    <xf numFmtId="3" fontId="20" fillId="2" borderId="1" xfId="1" applyNumberFormat="1" applyFont="1" applyFill="1" applyBorder="1">
      <alignment vertical="center"/>
    </xf>
    <xf numFmtId="38" fontId="9" fillId="0" borderId="0" xfId="1" applyFont="1" applyFill="1" applyBorder="1">
      <alignment vertical="center"/>
    </xf>
    <xf numFmtId="3" fontId="9" fillId="2" borderId="8" xfId="1" applyNumberFormat="1" applyFont="1" applyFill="1" applyBorder="1">
      <alignment vertical="center"/>
    </xf>
    <xf numFmtId="38" fontId="9" fillId="0" borderId="13" xfId="1" applyFont="1" applyFill="1" applyBorder="1">
      <alignment vertical="center"/>
    </xf>
    <xf numFmtId="0" fontId="8" fillId="0" borderId="13" xfId="0" applyFont="1" applyBorder="1" applyAlignment="1">
      <alignment horizontal="left" vertical="top"/>
    </xf>
    <xf numFmtId="0" fontId="8" fillId="0" borderId="12" xfId="0" applyFont="1" applyBorder="1">
      <alignment vertical="center"/>
    </xf>
    <xf numFmtId="0" fontId="9" fillId="0" borderId="14" xfId="0" applyFont="1" applyBorder="1">
      <alignment vertical="center"/>
    </xf>
    <xf numFmtId="0" fontId="18" fillId="0" borderId="12" xfId="0" applyFont="1" applyBorder="1">
      <alignment vertical="center"/>
    </xf>
    <xf numFmtId="38" fontId="9" fillId="0" borderId="0" xfId="1" applyFont="1" applyFill="1">
      <alignment vertical="center"/>
    </xf>
    <xf numFmtId="38" fontId="13" fillId="0" borderId="5" xfId="1" applyFont="1" applyFill="1" applyBorder="1" applyAlignment="1">
      <alignment horizontal="centerContinuous" vertical="center"/>
    </xf>
    <xf numFmtId="38" fontId="13" fillId="0" borderId="3" xfId="1" applyFont="1" applyFill="1" applyBorder="1" applyAlignment="1">
      <alignment horizontal="centerContinuous" vertical="center"/>
    </xf>
    <xf numFmtId="38" fontId="13" fillId="0" borderId="7" xfId="1" applyFont="1" applyFill="1" applyBorder="1">
      <alignment vertical="center"/>
    </xf>
    <xf numFmtId="0" fontId="8" fillId="0" borderId="8" xfId="0" applyFont="1" applyBorder="1" applyAlignment="1">
      <alignment vertical="top" wrapText="1"/>
    </xf>
    <xf numFmtId="3" fontId="9" fillId="0" borderId="8" xfId="1" applyNumberFormat="1" applyFont="1" applyFill="1" applyBorder="1">
      <alignment vertical="center"/>
    </xf>
    <xf numFmtId="0" fontId="8" fillId="0" borderId="9" xfId="0" applyFont="1" applyBorder="1">
      <alignment vertical="center"/>
    </xf>
    <xf numFmtId="0" fontId="9" fillId="0" borderId="16" xfId="0" applyFont="1" applyBorder="1">
      <alignment vertical="center"/>
    </xf>
    <xf numFmtId="38" fontId="13" fillId="0" borderId="11" xfId="1" applyFont="1" applyFill="1" applyBorder="1" applyAlignment="1">
      <alignment horizontal="centerContinuous" vertical="center"/>
    </xf>
    <xf numFmtId="3" fontId="9" fillId="2" borderId="8" xfId="0" applyNumberFormat="1" applyFont="1" applyFill="1" applyBorder="1">
      <alignment vertical="center"/>
    </xf>
    <xf numFmtId="0" fontId="13" fillId="0" borderId="5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top" textRotation="255"/>
    </xf>
    <xf numFmtId="0" fontId="8" fillId="0" borderId="8" xfId="0" applyFont="1" applyBorder="1" applyAlignment="1">
      <alignment horizontal="left" vertical="top"/>
    </xf>
    <xf numFmtId="0" fontId="8" fillId="0" borderId="10" xfId="0" applyFont="1" applyBorder="1" applyAlignment="1">
      <alignment vertical="top" textRotation="255"/>
    </xf>
    <xf numFmtId="0" fontId="8" fillId="0" borderId="6" xfId="0" applyFont="1" applyBorder="1" applyAlignment="1">
      <alignment vertical="top" textRotation="255"/>
    </xf>
    <xf numFmtId="3" fontId="9" fillId="0" borderId="8" xfId="1" applyNumberFormat="1" applyFont="1" applyFill="1" applyBorder="1" applyAlignment="1">
      <alignment vertical="center"/>
    </xf>
    <xf numFmtId="9" fontId="9" fillId="0" borderId="13" xfId="0" applyNumberFormat="1" applyFont="1" applyBorder="1" applyAlignment="1">
      <alignment horizontal="left" vertical="top"/>
    </xf>
    <xf numFmtId="0" fontId="13" fillId="0" borderId="9" xfId="0" applyFont="1" applyBorder="1">
      <alignment vertical="center"/>
    </xf>
    <xf numFmtId="0" fontId="9" fillId="0" borderId="2" xfId="0" applyFont="1" applyBorder="1">
      <alignment vertical="center"/>
    </xf>
    <xf numFmtId="3" fontId="9" fillId="2" borderId="9" xfId="1" applyNumberFormat="1" applyFont="1" applyFill="1" applyBorder="1">
      <alignment vertical="center"/>
    </xf>
    <xf numFmtId="0" fontId="16" fillId="0" borderId="6" xfId="0" applyFont="1" applyBorder="1" applyAlignment="1">
      <alignment horizontal="center" vertical="center"/>
    </xf>
    <xf numFmtId="3" fontId="9" fillId="2" borderId="9" xfId="0" applyNumberFormat="1" applyFont="1" applyFill="1" applyBorder="1">
      <alignment vertical="center"/>
    </xf>
    <xf numFmtId="0" fontId="13" fillId="0" borderId="11" xfId="0" applyFont="1" applyBorder="1" applyAlignment="1">
      <alignment horizontal="centerContinuous" vertical="center"/>
    </xf>
    <xf numFmtId="3" fontId="9" fillId="0" borderId="8" xfId="0" applyNumberFormat="1" applyFont="1" applyBorder="1">
      <alignment vertical="center"/>
    </xf>
    <xf numFmtId="38" fontId="9" fillId="0" borderId="5" xfId="1" applyFont="1" applyFill="1" applyBorder="1">
      <alignment vertical="center"/>
    </xf>
    <xf numFmtId="0" fontId="25" fillId="0" borderId="8" xfId="0" applyFont="1" applyBorder="1" applyAlignment="1">
      <alignment horizontal="left" vertical="top"/>
    </xf>
    <xf numFmtId="0" fontId="26" fillId="0" borderId="13" xfId="0" applyFont="1" applyBorder="1" applyAlignment="1">
      <alignment horizontal="left" vertical="top"/>
    </xf>
    <xf numFmtId="0" fontId="26" fillId="0" borderId="8" xfId="0" applyFont="1" applyBorder="1" applyAlignment="1">
      <alignment horizontal="left" vertical="top"/>
    </xf>
    <xf numFmtId="3" fontId="27" fillId="0" borderId="8" xfId="0" applyNumberFormat="1" applyFont="1" applyBorder="1">
      <alignment vertical="center"/>
    </xf>
    <xf numFmtId="0" fontId="27" fillId="0" borderId="13" xfId="0" applyFont="1" applyBorder="1">
      <alignment vertical="center"/>
    </xf>
    <xf numFmtId="38" fontId="8" fillId="0" borderId="0" xfId="1" applyFont="1" applyFill="1">
      <alignment vertical="center"/>
    </xf>
    <xf numFmtId="38" fontId="3" fillId="0" borderId="0" xfId="1" applyFont="1" applyFill="1">
      <alignment vertical="center"/>
    </xf>
    <xf numFmtId="38" fontId="13" fillId="0" borderId="2" xfId="1" applyFont="1" applyFill="1" applyBorder="1" applyAlignment="1">
      <alignment horizontal="centerContinuous" vertical="center"/>
    </xf>
    <xf numFmtId="38" fontId="8" fillId="0" borderId="8" xfId="1" applyFont="1" applyFill="1" applyBorder="1">
      <alignment vertical="center"/>
    </xf>
    <xf numFmtId="0" fontId="7" fillId="0" borderId="0" xfId="0" applyFont="1">
      <alignment vertical="center"/>
    </xf>
    <xf numFmtId="3" fontId="14" fillId="2" borderId="6" xfId="0" applyNumberFormat="1" applyFont="1" applyFill="1" applyBorder="1">
      <alignment vertical="center"/>
    </xf>
    <xf numFmtId="3" fontId="14" fillId="2" borderId="1" xfId="0" applyNumberFormat="1" applyFont="1" applyFill="1" applyBorder="1">
      <alignment vertical="center"/>
    </xf>
    <xf numFmtId="0" fontId="14" fillId="0" borderId="0" xfId="0" applyFont="1">
      <alignment vertical="center"/>
    </xf>
    <xf numFmtId="0" fontId="13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9" fontId="9" fillId="0" borderId="13" xfId="0" applyNumberFormat="1" applyFont="1" applyBorder="1">
      <alignment vertical="center"/>
    </xf>
    <xf numFmtId="0" fontId="13" fillId="0" borderId="12" xfId="0" applyFont="1" applyBorder="1" applyAlignment="1">
      <alignment horizontal="centerContinuous" vertical="center"/>
    </xf>
    <xf numFmtId="9" fontId="9" fillId="0" borderId="16" xfId="0" applyNumberFormat="1" applyFont="1" applyBorder="1">
      <alignment vertical="center"/>
    </xf>
    <xf numFmtId="9" fontId="9" fillId="0" borderId="14" xfId="0" applyNumberFormat="1" applyFont="1" applyBorder="1">
      <alignment vertical="center"/>
    </xf>
    <xf numFmtId="0" fontId="18" fillId="0" borderId="0" xfId="0" applyFont="1">
      <alignment vertical="center"/>
    </xf>
    <xf numFmtId="0" fontId="5" fillId="0" borderId="2" xfId="0" applyFont="1" applyBorder="1">
      <alignment vertical="center"/>
    </xf>
    <xf numFmtId="0" fontId="8" fillId="0" borderId="8" xfId="0" applyFont="1" applyBorder="1" applyAlignment="1">
      <alignment horizontal="right" vertical="center"/>
    </xf>
    <xf numFmtId="9" fontId="9" fillId="0" borderId="3" xfId="0" applyNumberFormat="1" applyFont="1" applyBorder="1">
      <alignment vertical="center"/>
    </xf>
    <xf numFmtId="0" fontId="18" fillId="0" borderId="7" xfId="0" applyFont="1" applyBorder="1">
      <alignment vertical="center"/>
    </xf>
    <xf numFmtId="3" fontId="19" fillId="2" borderId="8" xfId="1" applyNumberFormat="1" applyFont="1" applyFill="1" applyBorder="1">
      <alignment vertical="center"/>
    </xf>
    <xf numFmtId="3" fontId="19" fillId="2" borderId="9" xfId="1" applyNumberFormat="1" applyFont="1" applyFill="1" applyBorder="1">
      <alignment vertical="center"/>
    </xf>
    <xf numFmtId="0" fontId="15" fillId="0" borderId="2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5" xfId="0" applyFont="1" applyBorder="1" applyAlignment="1">
      <alignment horizontal="centerContinuous" vertical="center"/>
    </xf>
    <xf numFmtId="0" fontId="16" fillId="0" borderId="7" xfId="0" applyFont="1" applyBorder="1">
      <alignment vertical="center"/>
    </xf>
    <xf numFmtId="0" fontId="20" fillId="0" borderId="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3" fontId="19" fillId="2" borderId="0" xfId="1" applyNumberFormat="1" applyFont="1" applyFill="1" applyBorder="1">
      <alignment vertical="center"/>
    </xf>
    <xf numFmtId="0" fontId="13" fillId="0" borderId="2" xfId="0" applyFont="1" applyBorder="1">
      <alignment vertical="center"/>
    </xf>
    <xf numFmtId="0" fontId="5" fillId="0" borderId="9" xfId="0" applyFont="1" applyBorder="1">
      <alignment vertical="center"/>
    </xf>
    <xf numFmtId="0" fontId="13" fillId="0" borderId="12" xfId="4" applyFont="1" applyBorder="1">
      <alignment vertical="center"/>
    </xf>
    <xf numFmtId="0" fontId="13" fillId="0" borderId="3" xfId="4" applyFont="1" applyBorder="1">
      <alignment vertical="center"/>
    </xf>
    <xf numFmtId="0" fontId="13" fillId="0" borderId="14" xfId="4" applyFont="1" applyBorder="1" applyAlignment="1">
      <alignment horizontal="center" vertical="center"/>
    </xf>
    <xf numFmtId="0" fontId="13" fillId="0" borderId="4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13" fillId="0" borderId="3" xfId="4" applyFont="1" applyBorder="1" applyAlignment="1">
      <alignment horizontal="center" vertical="center"/>
    </xf>
    <xf numFmtId="0" fontId="13" fillId="0" borderId="16" xfId="4" applyFont="1" applyBorder="1">
      <alignment vertical="center"/>
    </xf>
    <xf numFmtId="0" fontId="13" fillId="0" borderId="9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6" xfId="4" applyFont="1" applyBorder="1" applyAlignment="1">
      <alignment horizontal="center" vertical="center"/>
    </xf>
    <xf numFmtId="0" fontId="16" fillId="0" borderId="11" xfId="4" applyFont="1" applyBorder="1">
      <alignment vertical="center"/>
    </xf>
    <xf numFmtId="3" fontId="16" fillId="0" borderId="3" xfId="4" applyNumberFormat="1" applyFont="1" applyBorder="1">
      <alignment vertical="center"/>
    </xf>
    <xf numFmtId="0" fontId="20" fillId="0" borderId="1" xfId="4" applyFont="1" applyBorder="1" applyAlignment="1">
      <alignment horizontal="center" vertical="center"/>
    </xf>
    <xf numFmtId="0" fontId="20" fillId="0" borderId="3" xfId="4" applyFont="1" applyBorder="1" applyAlignment="1">
      <alignment horizontal="center" vertical="center"/>
    </xf>
    <xf numFmtId="3" fontId="20" fillId="0" borderId="2" xfId="4" applyNumberFormat="1" applyFont="1" applyBorder="1">
      <alignment vertical="center"/>
    </xf>
    <xf numFmtId="0" fontId="16" fillId="0" borderId="1" xfId="4" applyFont="1" applyBorder="1" applyAlignment="1">
      <alignment vertical="center" shrinkToFit="1"/>
    </xf>
    <xf numFmtId="3" fontId="13" fillId="0" borderId="11" xfId="4" applyNumberFormat="1" applyFont="1" applyBorder="1">
      <alignment vertical="center"/>
    </xf>
    <xf numFmtId="177" fontId="3" fillId="2" borderId="1" xfId="3" applyNumberFormat="1" applyFont="1" applyFill="1" applyBorder="1">
      <alignment vertical="center"/>
    </xf>
    <xf numFmtId="9" fontId="3" fillId="0" borderId="1" xfId="3" applyNumberFormat="1" applyFont="1" applyBorder="1">
      <alignment vertical="center"/>
    </xf>
    <xf numFmtId="0" fontId="7" fillId="0" borderId="0" xfId="0" applyFont="1" applyAlignment="1">
      <alignment horizontal="left" vertical="center"/>
    </xf>
    <xf numFmtId="0" fontId="8" fillId="0" borderId="9" xfId="0" applyFont="1" applyBorder="1" applyAlignment="1">
      <alignment vertical="top" wrapText="1"/>
    </xf>
    <xf numFmtId="0" fontId="8" fillId="0" borderId="7" xfId="0" applyFont="1" applyBorder="1" applyAlignment="1">
      <alignment horizontal="left" vertical="top" wrapText="1"/>
    </xf>
    <xf numFmtId="0" fontId="9" fillId="0" borderId="0" xfId="0" applyFont="1" applyBorder="1">
      <alignment vertical="center"/>
    </xf>
    <xf numFmtId="9" fontId="9" fillId="0" borderId="0" xfId="0" applyNumberFormat="1" applyFont="1" applyBorder="1">
      <alignment vertical="center"/>
    </xf>
    <xf numFmtId="0" fontId="8" fillId="0" borderId="7" xfId="0" applyFont="1" applyBorder="1">
      <alignment vertical="center"/>
    </xf>
    <xf numFmtId="0" fontId="18" fillId="0" borderId="9" xfId="0" applyFont="1" applyBorder="1">
      <alignment vertical="center"/>
    </xf>
    <xf numFmtId="3" fontId="19" fillId="2" borderId="7" xfId="1" applyNumberFormat="1" applyFont="1" applyFill="1" applyBorder="1">
      <alignment vertical="center"/>
    </xf>
    <xf numFmtId="0" fontId="18" fillId="0" borderId="0" xfId="0" applyFont="1" applyBorder="1">
      <alignment vertical="center"/>
    </xf>
    <xf numFmtId="0" fontId="8" fillId="0" borderId="5" xfId="0" applyFont="1" applyBorder="1">
      <alignment vertical="center"/>
    </xf>
    <xf numFmtId="0" fontId="16" fillId="0" borderId="1" xfId="4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9" fillId="5" borderId="8" xfId="0" applyFont="1" applyFill="1" applyBorder="1">
      <alignment vertical="center"/>
    </xf>
    <xf numFmtId="0" fontId="9" fillId="5" borderId="0" xfId="0" applyFont="1" applyFill="1">
      <alignment vertical="center"/>
    </xf>
    <xf numFmtId="9" fontId="9" fillId="5" borderId="0" xfId="0" applyNumberFormat="1" applyFont="1" applyFill="1">
      <alignment vertical="center"/>
    </xf>
    <xf numFmtId="0" fontId="10" fillId="5" borderId="9" xfId="0" applyFont="1" applyFill="1" applyBorder="1">
      <alignment vertical="center"/>
    </xf>
    <xf numFmtId="0" fontId="9" fillId="5" borderId="7" xfId="0" applyFont="1" applyFill="1" applyBorder="1">
      <alignment vertical="center"/>
    </xf>
    <xf numFmtId="9" fontId="9" fillId="5" borderId="7" xfId="0" applyNumberFormat="1" applyFont="1" applyFill="1" applyBorder="1">
      <alignment vertical="center"/>
    </xf>
    <xf numFmtId="3" fontId="14" fillId="5" borderId="6" xfId="1" applyNumberFormat="1" applyFont="1" applyFill="1" applyBorder="1">
      <alignment vertical="center"/>
    </xf>
    <xf numFmtId="0" fontId="15" fillId="5" borderId="10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9" fillId="5" borderId="9" xfId="0" applyFont="1" applyFill="1" applyBorder="1">
      <alignment vertical="center"/>
    </xf>
    <xf numFmtId="0" fontId="10" fillId="5" borderId="2" xfId="0" applyFont="1" applyFill="1" applyBorder="1">
      <alignment vertical="center"/>
    </xf>
    <xf numFmtId="0" fontId="9" fillId="5" borderId="11" xfId="0" applyFont="1" applyFill="1" applyBorder="1">
      <alignment vertical="center"/>
    </xf>
    <xf numFmtId="9" fontId="9" fillId="5" borderId="11" xfId="0" applyNumberFormat="1" applyFont="1" applyFill="1" applyBorder="1">
      <alignment vertical="center"/>
    </xf>
    <xf numFmtId="3" fontId="14" fillId="5" borderId="1" xfId="1" applyNumberFormat="1" applyFont="1" applyFill="1" applyBorder="1">
      <alignment vertical="center"/>
    </xf>
    <xf numFmtId="0" fontId="16" fillId="5" borderId="10" xfId="0" applyFont="1" applyFill="1" applyBorder="1" applyAlignment="1">
      <alignment horizontal="center" vertical="center"/>
    </xf>
    <xf numFmtId="0" fontId="9" fillId="5" borderId="5" xfId="0" applyFont="1" applyFill="1" applyBorder="1">
      <alignment vertical="center"/>
    </xf>
    <xf numFmtId="9" fontId="9" fillId="5" borderId="5" xfId="0" applyNumberFormat="1" applyFont="1" applyFill="1" applyBorder="1">
      <alignment vertical="center"/>
    </xf>
    <xf numFmtId="0" fontId="9" fillId="5" borderId="12" xfId="0" applyFont="1" applyFill="1" applyBorder="1">
      <alignment vertical="center"/>
    </xf>
    <xf numFmtId="3" fontId="9" fillId="5" borderId="8" xfId="1" applyNumberFormat="1" applyFont="1" applyFill="1" applyBorder="1">
      <alignment vertical="center"/>
    </xf>
    <xf numFmtId="3" fontId="9" fillId="5" borderId="9" xfId="1" applyNumberFormat="1" applyFont="1" applyFill="1" applyBorder="1">
      <alignment vertical="center"/>
    </xf>
    <xf numFmtId="0" fontId="16" fillId="5" borderId="6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vertical="center" shrinkToFit="1"/>
    </xf>
    <xf numFmtId="0" fontId="8" fillId="5" borderId="8" xfId="0" applyFont="1" applyFill="1" applyBorder="1">
      <alignment vertical="center"/>
    </xf>
    <xf numFmtId="0" fontId="9" fillId="5" borderId="13" xfId="0" applyFont="1" applyFill="1" applyBorder="1">
      <alignment vertical="center"/>
    </xf>
    <xf numFmtId="0" fontId="15" fillId="5" borderId="1" xfId="0" applyFont="1" applyFill="1" applyBorder="1" applyAlignment="1">
      <alignment vertical="center" shrinkToFit="1"/>
    </xf>
    <xf numFmtId="0" fontId="9" fillId="5" borderId="16" xfId="0" applyFont="1" applyFill="1" applyBorder="1">
      <alignment vertical="center"/>
    </xf>
    <xf numFmtId="3" fontId="14" fillId="5" borderId="6" xfId="0" applyNumberFormat="1" applyFont="1" applyFill="1" applyBorder="1">
      <alignment vertical="center"/>
    </xf>
    <xf numFmtId="3" fontId="14" fillId="5" borderId="1" xfId="0" applyNumberFormat="1" applyFont="1" applyFill="1" applyBorder="1">
      <alignment vertical="center"/>
    </xf>
    <xf numFmtId="0" fontId="15" fillId="5" borderId="2" xfId="0" applyFont="1" applyFill="1" applyBorder="1">
      <alignment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9" fillId="5" borderId="2" xfId="0" applyFont="1" applyFill="1" applyBorder="1">
      <alignment vertical="center"/>
    </xf>
    <xf numFmtId="3" fontId="19" fillId="5" borderId="8" xfId="1" applyNumberFormat="1" applyFont="1" applyFill="1" applyBorder="1">
      <alignment vertical="center"/>
    </xf>
    <xf numFmtId="0" fontId="8" fillId="5" borderId="0" xfId="0" applyFont="1" applyFill="1">
      <alignment vertical="center"/>
    </xf>
    <xf numFmtId="3" fontId="19" fillId="5" borderId="9" xfId="1" applyNumberFormat="1" applyFont="1" applyFill="1" applyBorder="1">
      <alignment vertical="center"/>
    </xf>
    <xf numFmtId="0" fontId="8" fillId="5" borderId="7" xfId="0" applyFont="1" applyFill="1" applyBorder="1">
      <alignment vertical="center"/>
    </xf>
    <xf numFmtId="9" fontId="9" fillId="5" borderId="13" xfId="0" applyNumberFormat="1" applyFont="1" applyFill="1" applyBorder="1">
      <alignment vertical="center"/>
    </xf>
    <xf numFmtId="38" fontId="14" fillId="5" borderId="6" xfId="1" applyFont="1" applyFill="1" applyBorder="1">
      <alignment vertical="center"/>
    </xf>
    <xf numFmtId="0" fontId="8" fillId="5" borderId="8" xfId="0" applyFont="1" applyFill="1" applyBorder="1" applyAlignment="1">
      <alignment horizontal="right" vertical="center"/>
    </xf>
    <xf numFmtId="38" fontId="14" fillId="5" borderId="1" xfId="1" applyFont="1" applyFill="1" applyBorder="1">
      <alignment vertical="center"/>
    </xf>
    <xf numFmtId="0" fontId="5" fillId="5" borderId="2" xfId="0" applyFont="1" applyFill="1" applyBorder="1">
      <alignment vertical="center"/>
    </xf>
    <xf numFmtId="0" fontId="18" fillId="5" borderId="0" xfId="0" applyFont="1" applyFill="1">
      <alignment vertical="center"/>
    </xf>
    <xf numFmtId="0" fontId="18" fillId="5" borderId="7" xfId="0" applyFont="1" applyFill="1" applyBorder="1">
      <alignment vertical="center"/>
    </xf>
    <xf numFmtId="0" fontId="16" fillId="5" borderId="2" xfId="0" applyFont="1" applyFill="1" applyBorder="1">
      <alignment vertical="center"/>
    </xf>
    <xf numFmtId="9" fontId="9" fillId="5" borderId="14" xfId="0" applyNumberFormat="1" applyFont="1" applyFill="1" applyBorder="1">
      <alignment vertical="center"/>
    </xf>
    <xf numFmtId="3" fontId="20" fillId="5" borderId="1" xfId="1" applyNumberFormat="1" applyFont="1" applyFill="1" applyBorder="1">
      <alignment vertical="center"/>
    </xf>
    <xf numFmtId="0" fontId="18" fillId="5" borderId="16" xfId="0" applyFont="1" applyFill="1" applyBorder="1">
      <alignment vertical="center"/>
    </xf>
    <xf numFmtId="0" fontId="16" fillId="5" borderId="9" xfId="0" applyFont="1" applyFill="1" applyBorder="1">
      <alignment vertical="center"/>
    </xf>
    <xf numFmtId="3" fontId="20" fillId="5" borderId="6" xfId="1" applyNumberFormat="1" applyFont="1" applyFill="1" applyBorder="1">
      <alignment vertical="center"/>
    </xf>
    <xf numFmtId="0" fontId="5" fillId="5" borderId="9" xfId="0" applyFont="1" applyFill="1" applyBorder="1">
      <alignment vertical="center"/>
    </xf>
    <xf numFmtId="0" fontId="30" fillId="0" borderId="0" xfId="0" applyFont="1" applyAlignment="1">
      <alignment horizontal="left" vertical="center"/>
    </xf>
    <xf numFmtId="0" fontId="8" fillId="0" borderId="12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23" fillId="0" borderId="12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9" fontId="9" fillId="0" borderId="13" xfId="0" applyNumberFormat="1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 textRotation="255"/>
    </xf>
    <xf numFmtId="0" fontId="0" fillId="0" borderId="10" xfId="0" applyBorder="1" applyAlignment="1">
      <alignment horizontal="center" vertical="top" textRotation="255"/>
    </xf>
    <xf numFmtId="0" fontId="24" fillId="0" borderId="5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17" fillId="0" borderId="12" xfId="0" applyFont="1" applyBorder="1" applyAlignment="1">
      <alignment horizontal="left" vertical="top" wrapText="1"/>
    </xf>
    <xf numFmtId="0" fontId="8" fillId="5" borderId="8" xfId="0" applyFont="1" applyFill="1" applyBorder="1" applyAlignment="1">
      <alignment horizontal="left" vertical="top" wrapText="1"/>
    </xf>
    <xf numFmtId="0" fontId="8" fillId="6" borderId="13" xfId="0" applyFont="1" applyFill="1" applyBorder="1" applyAlignment="1">
      <alignment horizontal="left" vertical="top" wrapText="1"/>
    </xf>
    <xf numFmtId="0" fontId="8" fillId="6" borderId="8" xfId="0" applyFont="1" applyFill="1" applyBorder="1" applyAlignment="1">
      <alignment horizontal="left" vertical="top" wrapText="1"/>
    </xf>
    <xf numFmtId="0" fontId="23" fillId="5" borderId="12" xfId="0" applyFont="1" applyFill="1" applyBorder="1" applyAlignment="1">
      <alignment horizontal="left" vertical="top" wrapText="1"/>
    </xf>
    <xf numFmtId="0" fontId="8" fillId="6" borderId="9" xfId="0" applyFont="1" applyFill="1" applyBorder="1" applyAlignment="1">
      <alignment horizontal="left" vertical="top" wrapText="1"/>
    </xf>
    <xf numFmtId="0" fontId="8" fillId="5" borderId="12" xfId="0" applyFont="1" applyFill="1" applyBorder="1" applyAlignment="1">
      <alignment horizontal="left" vertical="top" wrapText="1"/>
    </xf>
    <xf numFmtId="0" fontId="8" fillId="6" borderId="14" xfId="0" applyFont="1" applyFill="1" applyBorder="1" applyAlignment="1">
      <alignment horizontal="left" vertical="top" wrapText="1"/>
    </xf>
    <xf numFmtId="9" fontId="9" fillId="5" borderId="13" xfId="0" applyNumberFormat="1" applyFont="1" applyFill="1" applyBorder="1" applyAlignment="1">
      <alignment horizontal="left" vertical="top" wrapText="1"/>
    </xf>
    <xf numFmtId="9" fontId="9" fillId="6" borderId="13" xfId="0" applyNumberFormat="1" applyFont="1" applyFill="1" applyBorder="1" applyAlignment="1">
      <alignment horizontal="left" vertical="top" wrapText="1"/>
    </xf>
    <xf numFmtId="0" fontId="8" fillId="5" borderId="12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8" xfId="0" applyFont="1" applyFill="1" applyBorder="1" applyAlignment="1">
      <alignment vertical="top" wrapText="1"/>
    </xf>
    <xf numFmtId="0" fontId="8" fillId="6" borderId="13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24" fillId="0" borderId="12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textRotation="255"/>
    </xf>
    <xf numFmtId="0" fontId="3" fillId="0" borderId="10" xfId="0" applyFont="1" applyBorder="1" applyAlignment="1">
      <alignment horizontal="center" vertical="top" textRotation="255"/>
    </xf>
    <xf numFmtId="0" fontId="3" fillId="0" borderId="6" xfId="0" applyFont="1" applyBorder="1" applyAlignment="1">
      <alignment horizontal="center" vertical="top" textRotation="255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center" vertical="top" wrapText="1"/>
    </xf>
    <xf numFmtId="0" fontId="3" fillId="6" borderId="13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left" vertical="top" wrapText="1"/>
    </xf>
    <xf numFmtId="0" fontId="18" fillId="6" borderId="9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top" wrapText="1"/>
    </xf>
    <xf numFmtId="0" fontId="8" fillId="5" borderId="13" xfId="0" applyFont="1" applyFill="1" applyBorder="1" applyAlignment="1">
      <alignment horizontal="left" vertical="top" wrapText="1"/>
    </xf>
    <xf numFmtId="0" fontId="3" fillId="6" borderId="9" xfId="0" applyFont="1" applyFill="1" applyBorder="1" applyAlignment="1">
      <alignment horizontal="left" vertical="top" wrapText="1"/>
    </xf>
    <xf numFmtId="0" fontId="13" fillId="0" borderId="12" xfId="4" applyFont="1" applyBorder="1" applyAlignment="1">
      <alignment horizontal="center" vertical="center"/>
    </xf>
    <xf numFmtId="0" fontId="13" fillId="0" borderId="5" xfId="4" applyFont="1" applyBorder="1" applyAlignment="1">
      <alignment horizontal="center" vertical="center"/>
    </xf>
    <xf numFmtId="0" fontId="13" fillId="0" borderId="14" xfId="4" applyFont="1" applyBorder="1" applyAlignment="1">
      <alignment horizontal="center" vertical="center"/>
    </xf>
    <xf numFmtId="0" fontId="16" fillId="0" borderId="2" xfId="4" applyFont="1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</cellXfs>
  <cellStyles count="9">
    <cellStyle name="パーセント" xfId="2" builtinId="5"/>
    <cellStyle name="桁区切り" xfId="1" builtinId="6"/>
    <cellStyle name="桁区切り 2" xfId="8"/>
    <cellStyle name="標準" xfId="0" builtinId="0"/>
    <cellStyle name="標準 14" xfId="5"/>
    <cellStyle name="標準 2" xfId="4"/>
    <cellStyle name="標準 2 2" xfId="6"/>
    <cellStyle name="標準 2 3" xfId="3"/>
    <cellStyle name="標準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K230245nw\AppData\Local\Microsoft\Windows\INetCache\IE\3H2L43S6\&#20171;&#35703;&#32102;&#20184;&#36027;&#31561;&#21336;&#20301;&#25968;&#12469;&#12540;&#12499;&#12473;&#12467;&#12540;&#12489;(6&#26376;&#25552;&#20379;&#20998;&#653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説明"/>
      <sheetName val="_11_居宅介護（名前定義）"/>
      <sheetName val="1居宅介護(身介、単一日中)"/>
      <sheetName val="1居宅介護(身介、単一早朝夜間)"/>
      <sheetName val="1居宅介護(身介、単一深夜)"/>
      <sheetName val="1居宅介護(身介、合成深夜)"/>
      <sheetName val="1居宅介護(身介、合成早朝)"/>
      <sheetName val="1居宅介護(身介、合成日中)"/>
      <sheetName val="1居宅介護(身介、合成夜間１)"/>
      <sheetName val="1居宅介護(身介、合成夜間２)"/>
      <sheetName val="1居宅介護(身介、2h未合成１)"/>
      <sheetName val="1居宅介護(身介、2h未合成２)"/>
      <sheetName val="1居宅介護(身介、2h未合成３)"/>
      <sheetName val="1居宅介護(身介、日中増分)"/>
      <sheetName val="1居宅介護(身介、日中増分)(補正)"/>
      <sheetName val="1居宅介護(身介、早朝夜間増分)"/>
      <sheetName val="1居宅介護(身介、早朝夜間増分)(補正)"/>
      <sheetName val="1居宅介護(身介、深夜増分)"/>
      <sheetName val="1居宅介護(身介、深夜増分)(補正)"/>
      <sheetName val="1居宅介護(身介重度、単一日中・早朝・夜間)"/>
      <sheetName val="1居宅介護(身介重度、単一深夜)"/>
      <sheetName val="1居宅介護(身介重度、合成１-1)"/>
      <sheetName val="1居宅介護(身介重度、合成１-2)"/>
      <sheetName val="1居宅介護(身介重度、合成１-3)"/>
      <sheetName val="1居宅介護(身介重度、合成１-4)"/>
      <sheetName val="1居宅介護(身介重度、合成１-5)"/>
      <sheetName val="1居宅介護(身介重度、合成１-6)"/>
      <sheetName val="1居宅介護(身介重度、合成１-7)"/>
      <sheetName val="1居宅介護(身介重度、合成１-8)"/>
      <sheetName val="1居宅介護(身介重度、日中早朝増分)"/>
      <sheetName val="1居宅介護(身介重度、日中早朝増分)(補正)"/>
      <sheetName val="1居宅介護(身介重度、夜間深夜増分)"/>
      <sheetName val="1居宅介護(身介重度、夜間深夜増分)(補正)"/>
      <sheetName val="1居宅介護(通院身体、単一日中)"/>
      <sheetName val="1居宅介護(通院身体、単一早朝夜間)"/>
      <sheetName val="1居宅介護(通院身体、単一深夜)"/>
      <sheetName val="1居宅介護(通院身体、合成深夜)"/>
      <sheetName val="1居宅介護(通院身体、合成早朝)"/>
      <sheetName val="1居宅介護(通院身体、合成日中)"/>
      <sheetName val="1居宅介護(通院身体、合成夜間１)"/>
      <sheetName val="1居宅介護(通院身体、合成夜間２)"/>
      <sheetName val="1居宅介護(通院身体、2h未合成１)"/>
      <sheetName val="1居宅介護(通院身体、2h未合成２)"/>
      <sheetName val="1居宅介護(通院身体、2h未合成３‐1)"/>
      <sheetName val="1居宅介護(通院身体、2h未合成３‐2)"/>
      <sheetName val="1居宅介護(通院身体、日中増分)"/>
      <sheetName val="1居宅介護(通院身体、日中増分)(補正)"/>
      <sheetName val="1居宅介護(通院身体、早朝夜間増分)"/>
      <sheetName val="1居宅介護(通院身体、早朝夜間増分)(補正)"/>
      <sheetName val="1居宅介護(通院身体、深夜増分)"/>
      <sheetName val="1居宅介護(通院身体、深夜増分)(補正)"/>
      <sheetName val="1居宅介護(通院重度、単一日中・早朝・夜間)"/>
      <sheetName val="1居宅介護(通院重度、単一深夜)"/>
      <sheetName val="1居宅介護(通院重度、合成１-1)"/>
      <sheetName val="1居宅介護(通院重度、合成１-2)"/>
      <sheetName val="1居宅介護(通院重度、合成１-3)"/>
      <sheetName val="1居宅介護(通院重度、合成１-4)"/>
      <sheetName val="1居宅介護(通院重度、合成１-5)"/>
      <sheetName val="1居宅介護(通院重度、合成１-6)"/>
      <sheetName val="1居宅介護(通院重度、合成１-7)"/>
      <sheetName val="1居宅介護(通院重度、合成１-8)"/>
      <sheetName val="1居宅介護(通院重度、日中早朝増分)"/>
      <sheetName val="1居宅介護(通院重度、日中早朝増分)(補正)"/>
      <sheetName val="1居宅介護(通院重度、夜間深夜増分)"/>
      <sheetName val="1居宅介護(通院重度、夜間深夜増分)(補正)"/>
      <sheetName val="1居宅介護(家援、単一日中)"/>
      <sheetName val="1居宅介護(家援、単一早朝夜間)"/>
      <sheetName val="1居宅介護(家援、単一深夜)"/>
      <sheetName val="1居宅介護(家援、合成１-1)"/>
      <sheetName val="1居宅介護(家援、合成１-2)"/>
      <sheetName val="1居宅介護(家援、合成１-3)"/>
      <sheetName val="1居宅介護(家援、合成２‐1)"/>
      <sheetName val="1居宅介護(家援、合成２‐2)"/>
      <sheetName val="1居宅介護(家援、2h未合成１-1)"/>
      <sheetName val="1居宅介護(家援、2h未合成１-2)"/>
      <sheetName val="1居宅介護(家援、2h未合成１-3)"/>
      <sheetName val="1居宅介護(家援、日中増分)"/>
      <sheetName val="1居宅介護(家援、日中増分)(補正)"/>
      <sheetName val="1居宅介護(家援、早朝夜間増分)"/>
      <sheetName val="1居宅介護(家援、早朝夜間増分)(補正)"/>
      <sheetName val="1居宅介護(家援、深夜増分)"/>
      <sheetName val="1居宅介護(家援、深夜増分)(補正)"/>
      <sheetName val="1居宅介護(家援重度、単一日中)"/>
      <sheetName val="1居宅介護(家援重度、単一早朝夜間)"/>
      <sheetName val="1居宅介護(家援重度、単一深夜)"/>
      <sheetName val="1居宅介護(家援重度、合成１‐1)"/>
      <sheetName val="1居宅介護(家援重度、合成１‐2)"/>
      <sheetName val="1居宅介護(家援重度、合成１-3)"/>
      <sheetName val="1居宅介護(家援重度、合成２-1)"/>
      <sheetName val="1居宅介護(家援重度、合成２-2)"/>
      <sheetName val="1居宅介護(家援重度、2h未合成１‐1)"/>
      <sheetName val="1居宅介護(家援重度、2h未合成１-2)"/>
      <sheetName val="1居宅介護(家援重度、2h未合成１-3)"/>
      <sheetName val="1居宅介護(家援重度、日中増分)"/>
      <sheetName val="1居宅介護(家援重度、日中増分)(補正)"/>
      <sheetName val="1居宅介護(家援重度、早朝夜間増分)"/>
      <sheetName val="1居宅介護(家援重度、早朝夜間増分)(補正)"/>
      <sheetName val="1居宅介護(家援重度、深夜増分)"/>
      <sheetName val="1居宅介護(家援重度、深夜増分)(補正)"/>
      <sheetName val="1居宅介護(通院家援、単一日中)"/>
      <sheetName val="1居宅介護(通院家援、単一早朝夜間)"/>
      <sheetName val="1居宅介護(通院家援、単一深夜)"/>
      <sheetName val="1居宅介護(通院家援、合成１)"/>
      <sheetName val="1居宅介護(通院家援、合成２)"/>
      <sheetName val="1居宅介護(通院家援、2h未合成１)"/>
      <sheetName val="1居宅介護(通院家援、日中増分)"/>
      <sheetName val="1居宅介護(通院家援、日中増分)(補正)"/>
      <sheetName val="1居宅介護(通院家援、早朝夜間増分)"/>
      <sheetName val="1居宅介護(通院家援、早朝夜間増分)(補正)"/>
      <sheetName val="1居宅介護(通院家援、深夜増分)"/>
      <sheetName val="1居宅介護(通院家援、深夜増分)(補正)"/>
      <sheetName val="1居宅介護(通院家援重度、単一日中)"/>
      <sheetName val="1居宅介護(通院家援重度、単一早朝夜間深夜)"/>
      <sheetName val="1居宅介護(通院家援重度、合成)"/>
      <sheetName val="1居宅介護(通院家援重度、2h未合成１)"/>
      <sheetName val="1居宅介護(通院家援重度、日中増分)"/>
      <sheetName val="1居宅介護(通院家援重度、日中増分)(補正)"/>
      <sheetName val="1居宅介護(通院家援重度、早朝夜間深夜増分)"/>
      <sheetName val="1居宅介護(通院家援重度、早朝夜間深夜増分)(補正)"/>
      <sheetName val="1居宅介護(通院等乗降介助加算)"/>
      <sheetName val="1居宅介護(通院等乗降介助重度加算)"/>
      <sheetName val="1居宅介護(単独加算)"/>
      <sheetName val="2重度訪問"/>
      <sheetName val="2重度訪問（早朝）"/>
      <sheetName val="2重度訪問（夜間）"/>
      <sheetName val="2重度訪問（深夜）"/>
      <sheetName val="2重度訪問 (入院入所中)"/>
      <sheetName val="2重度訪問 (入院入所中、早朝)"/>
      <sheetName val="2重度訪問 (入院入所中、夜間)"/>
      <sheetName val="2重度訪問 (入院入所中、深夜)"/>
      <sheetName val="_15_同行援護（名前定義）"/>
      <sheetName val="3同行援護(同行援護、単一日中)"/>
      <sheetName val="3同行援護(同行援護、単一早朝夜間)"/>
      <sheetName val="3同行援護(同行援護、単一深夜)"/>
      <sheetName val="3同行援護(同行援護、合成深夜)"/>
      <sheetName val="3同行援護(同行援護、合成早朝)"/>
      <sheetName val="3同行援護(同行援護、合成日中)"/>
      <sheetName val="3同行援護(同行援護、合成夜間１)"/>
      <sheetName val="3同行援護(同行援護、合成夜間２)"/>
      <sheetName val="3同行援護(同行援護、2h未合成１)"/>
      <sheetName val="3同行援護(同行援護、2h未合成２)"/>
      <sheetName val="3同行援護(同行援護、2h未合成３)"/>
      <sheetName val="3同行援護(同行援護、日中増分)"/>
      <sheetName val="3同行援護(同行援護、日中増分)(補正)"/>
      <sheetName val="3同行援護(同行援護、早朝夜間増分)"/>
      <sheetName val="3同行援護(同行援護、早朝夜間増分)(補正)"/>
      <sheetName val="3同行援護(同行援護、深夜増分)"/>
      <sheetName val="3同行援護(同行援護、深夜増分)(補正)"/>
      <sheetName val="3同行援護(同行援護盲ろう、単一日中)"/>
      <sheetName val="3同行援護(同行援護盲ろう、単一早朝夜間)"/>
      <sheetName val="3同行援護(同行援護盲ろう、単一深夜)"/>
      <sheetName val="3同行援護(同行援護盲ろう、合成深夜)"/>
      <sheetName val="3同行援護(同行援護盲ろう、合成早朝)"/>
      <sheetName val="3同行援護(同行援護盲ろう、合成日中)"/>
      <sheetName val="3同行援護(同行援護盲ろう、合成夜間１)"/>
      <sheetName val="3同行援護(同行援護盲ろう、合成夜間２)"/>
      <sheetName val="3同行援護(同行援護盲ろう、2h未合成１)"/>
      <sheetName val="3同行援護(同行援護盲ろう、2h未合成２)"/>
      <sheetName val="3同行援護(同行援護盲ろう、2h未合成３)"/>
      <sheetName val="3同行援護(同行援護盲ろう、日中増分)"/>
      <sheetName val="3同行援護(同行援護盲ろう、日中増分)(補正)"/>
      <sheetName val="3同行援護(同行援護盲ろう、早朝夜間増分)"/>
      <sheetName val="3同行援護(同行援護盲ろう、早朝夜間増分)(補正)"/>
      <sheetName val="3同行援護(同行援護盲ろう、深夜増分)"/>
      <sheetName val="3同行援護(同行援護盲ろう、深夜増分)(補正)"/>
      <sheetName val="3同行援護(単独加算)"/>
      <sheetName val="4行動援護"/>
      <sheetName val="5重度包括支援"/>
      <sheetName val="6療養介護(基本)"/>
      <sheetName val="6療養介護(定超)"/>
      <sheetName val="6療養介護(生活支援員他欠員)"/>
      <sheetName val="6療養介護(サービス管理責任者欠員)"/>
      <sheetName val="7生活介護(基本)"/>
      <sheetName val="7生活介護(定超)"/>
      <sheetName val="7生活介護(生活支援員等欠員)"/>
      <sheetName val="7生活介護(サービス管理責任者欠員)"/>
    </sheetNames>
    <sheetDataSet>
      <sheetData sheetId="0" refreshError="1"/>
      <sheetData sheetId="1" refreshError="1"/>
      <sheetData sheetId="2" refreshError="1">
        <row r="4">
          <cell r="C4">
            <v>256</v>
          </cell>
        </row>
        <row r="5">
          <cell r="C5">
            <v>404</v>
          </cell>
        </row>
        <row r="6">
          <cell r="C6">
            <v>587</v>
          </cell>
        </row>
        <row r="7">
          <cell r="C7">
            <v>669</v>
          </cell>
        </row>
        <row r="8">
          <cell r="C8">
            <v>754</v>
          </cell>
        </row>
        <row r="9">
          <cell r="C9">
            <v>837</v>
          </cell>
        </row>
        <row r="10">
          <cell r="C10">
            <v>921</v>
          </cell>
        </row>
        <row r="11">
          <cell r="C11">
            <v>1004</v>
          </cell>
        </row>
        <row r="12">
          <cell r="C12">
            <v>1087</v>
          </cell>
        </row>
        <row r="13">
          <cell r="C13">
            <v>1170</v>
          </cell>
        </row>
        <row r="14">
          <cell r="C14">
            <v>1253</v>
          </cell>
        </row>
        <row r="15">
          <cell r="C15">
            <v>1336</v>
          </cell>
        </row>
        <row r="16">
          <cell r="C16">
            <v>1419</v>
          </cell>
        </row>
        <row r="17">
          <cell r="C17">
            <v>1502</v>
          </cell>
        </row>
        <row r="18">
          <cell r="C18">
            <v>1585</v>
          </cell>
        </row>
        <row r="19">
          <cell r="C19">
            <v>1668</v>
          </cell>
        </row>
        <row r="20">
          <cell r="C20">
            <v>1751</v>
          </cell>
        </row>
        <row r="21">
          <cell r="C21">
            <v>1834</v>
          </cell>
        </row>
        <row r="22">
          <cell r="C22">
            <v>1917</v>
          </cell>
        </row>
        <row r="23">
          <cell r="C23">
            <v>2000</v>
          </cell>
        </row>
        <row r="24">
          <cell r="C24">
            <v>2083</v>
          </cell>
        </row>
        <row r="25">
          <cell r="C25">
            <v>83</v>
          </cell>
        </row>
        <row r="26">
          <cell r="C26">
            <v>166</v>
          </cell>
        </row>
        <row r="27">
          <cell r="C27">
            <v>249</v>
          </cell>
        </row>
        <row r="28">
          <cell r="C28">
            <v>332</v>
          </cell>
        </row>
        <row r="29">
          <cell r="C29">
            <v>415</v>
          </cell>
        </row>
        <row r="30">
          <cell r="C30">
            <v>498</v>
          </cell>
        </row>
        <row r="31">
          <cell r="C31">
            <v>581</v>
          </cell>
        </row>
        <row r="32">
          <cell r="C32">
            <v>664</v>
          </cell>
        </row>
        <row r="33">
          <cell r="C33">
            <v>747</v>
          </cell>
        </row>
        <row r="34">
          <cell r="C34">
            <v>830</v>
          </cell>
        </row>
        <row r="35">
          <cell r="C35">
            <v>913</v>
          </cell>
        </row>
        <row r="36">
          <cell r="C36">
            <v>996</v>
          </cell>
        </row>
        <row r="37">
          <cell r="C37">
            <v>1079</v>
          </cell>
        </row>
        <row r="38">
          <cell r="C38">
            <v>1162</v>
          </cell>
        </row>
        <row r="39">
          <cell r="C39">
            <v>1245</v>
          </cell>
        </row>
        <row r="40">
          <cell r="C40">
            <v>1328</v>
          </cell>
        </row>
        <row r="41">
          <cell r="C41">
            <v>1411</v>
          </cell>
        </row>
        <row r="42">
          <cell r="C42">
            <v>1494</v>
          </cell>
        </row>
        <row r="43">
          <cell r="C43">
            <v>1577</v>
          </cell>
        </row>
        <row r="44">
          <cell r="C44">
            <v>1660</v>
          </cell>
        </row>
        <row r="45">
          <cell r="C45">
            <v>1743</v>
          </cell>
        </row>
        <row r="46">
          <cell r="C46">
            <v>186</v>
          </cell>
        </row>
        <row r="47">
          <cell r="C47">
            <v>277</v>
          </cell>
        </row>
        <row r="48">
          <cell r="C48">
            <v>369</v>
          </cell>
        </row>
        <row r="49">
          <cell r="C49">
            <v>461</v>
          </cell>
        </row>
        <row r="50">
          <cell r="C50">
            <v>553</v>
          </cell>
        </row>
        <row r="51">
          <cell r="C51">
            <v>638</v>
          </cell>
        </row>
        <row r="52">
          <cell r="C52">
            <v>724</v>
          </cell>
        </row>
        <row r="53">
          <cell r="C53">
            <v>810</v>
          </cell>
        </row>
        <row r="54">
          <cell r="C54">
            <v>896</v>
          </cell>
        </row>
        <row r="55">
          <cell r="C55">
            <v>982</v>
          </cell>
        </row>
        <row r="56">
          <cell r="C56">
            <v>1068</v>
          </cell>
        </row>
        <row r="57">
          <cell r="C57">
            <v>1154</v>
          </cell>
        </row>
        <row r="58">
          <cell r="C58">
            <v>1240</v>
          </cell>
        </row>
        <row r="59">
          <cell r="C59">
            <v>1326</v>
          </cell>
        </row>
        <row r="60">
          <cell r="C60">
            <v>1412</v>
          </cell>
        </row>
        <row r="61">
          <cell r="C61">
            <v>1498</v>
          </cell>
        </row>
        <row r="62">
          <cell r="C62">
            <v>1584</v>
          </cell>
        </row>
        <row r="63">
          <cell r="C63">
            <v>1670</v>
          </cell>
        </row>
        <row r="64">
          <cell r="C64">
            <v>1756</v>
          </cell>
        </row>
        <row r="65">
          <cell r="C65">
            <v>1842</v>
          </cell>
        </row>
        <row r="66">
          <cell r="C66">
            <v>86</v>
          </cell>
        </row>
        <row r="67">
          <cell r="C67">
            <v>172</v>
          </cell>
        </row>
        <row r="68">
          <cell r="C68">
            <v>258</v>
          </cell>
        </row>
        <row r="69">
          <cell r="C69">
            <v>344</v>
          </cell>
        </row>
        <row r="70">
          <cell r="C70">
            <v>430</v>
          </cell>
        </row>
        <row r="71">
          <cell r="C71">
            <v>516</v>
          </cell>
        </row>
        <row r="72">
          <cell r="C72">
            <v>602</v>
          </cell>
        </row>
        <row r="73">
          <cell r="C73">
            <v>688</v>
          </cell>
        </row>
        <row r="74">
          <cell r="C74">
            <v>774</v>
          </cell>
        </row>
        <row r="75">
          <cell r="C75">
            <v>860</v>
          </cell>
        </row>
        <row r="76">
          <cell r="C76">
            <v>946</v>
          </cell>
        </row>
        <row r="77">
          <cell r="C77">
            <v>1032</v>
          </cell>
        </row>
        <row r="78">
          <cell r="C78">
            <v>1118</v>
          </cell>
        </row>
        <row r="79">
          <cell r="C79">
            <v>1204</v>
          </cell>
        </row>
        <row r="80">
          <cell r="C80">
            <v>1290</v>
          </cell>
        </row>
        <row r="81">
          <cell r="C81">
            <v>1376</v>
          </cell>
        </row>
        <row r="82">
          <cell r="C82">
            <v>1462</v>
          </cell>
        </row>
        <row r="83">
          <cell r="C83">
            <v>1548</v>
          </cell>
        </row>
        <row r="84">
          <cell r="C84">
            <v>1634</v>
          </cell>
        </row>
        <row r="85">
          <cell r="C85">
            <v>1720</v>
          </cell>
        </row>
        <row r="86">
          <cell r="C86">
            <v>1806</v>
          </cell>
        </row>
        <row r="87">
          <cell r="C87">
            <v>256</v>
          </cell>
        </row>
        <row r="88">
          <cell r="C88">
            <v>404</v>
          </cell>
        </row>
        <row r="89">
          <cell r="C89">
            <v>587</v>
          </cell>
        </row>
        <row r="90">
          <cell r="C90">
            <v>669</v>
          </cell>
        </row>
        <row r="91">
          <cell r="C91">
            <v>754</v>
          </cell>
        </row>
        <row r="92">
          <cell r="C92">
            <v>837</v>
          </cell>
        </row>
        <row r="93">
          <cell r="C93">
            <v>921</v>
          </cell>
        </row>
        <row r="94">
          <cell r="C94">
            <v>1004</v>
          </cell>
        </row>
        <row r="95">
          <cell r="C95">
            <v>1087</v>
          </cell>
        </row>
        <row r="96">
          <cell r="C96">
            <v>1170</v>
          </cell>
        </row>
        <row r="97">
          <cell r="C97">
            <v>1253</v>
          </cell>
        </row>
        <row r="98">
          <cell r="C98">
            <v>1336</v>
          </cell>
        </row>
        <row r="99">
          <cell r="C99">
            <v>1419</v>
          </cell>
        </row>
        <row r="100">
          <cell r="C100">
            <v>1502</v>
          </cell>
        </row>
        <row r="101">
          <cell r="C101">
            <v>1585</v>
          </cell>
        </row>
        <row r="102">
          <cell r="C102">
            <v>1668</v>
          </cell>
        </row>
        <row r="103">
          <cell r="C103">
            <v>1751</v>
          </cell>
        </row>
        <row r="104">
          <cell r="C104">
            <v>1834</v>
          </cell>
        </row>
        <row r="105">
          <cell r="C105">
            <v>1917</v>
          </cell>
        </row>
        <row r="106">
          <cell r="C106">
            <v>2000</v>
          </cell>
        </row>
        <row r="107">
          <cell r="C107">
            <v>2083</v>
          </cell>
        </row>
        <row r="108">
          <cell r="C108">
            <v>83</v>
          </cell>
        </row>
        <row r="109">
          <cell r="C109">
            <v>166</v>
          </cell>
        </row>
        <row r="110">
          <cell r="C110">
            <v>249</v>
          </cell>
        </row>
        <row r="111">
          <cell r="C111">
            <v>332</v>
          </cell>
        </row>
        <row r="112">
          <cell r="C112">
            <v>415</v>
          </cell>
        </row>
        <row r="113">
          <cell r="C113">
            <v>498</v>
          </cell>
        </row>
        <row r="114">
          <cell r="C114">
            <v>581</v>
          </cell>
        </row>
        <row r="115">
          <cell r="C115">
            <v>664</v>
          </cell>
        </row>
        <row r="116">
          <cell r="C116">
            <v>747</v>
          </cell>
        </row>
        <row r="117">
          <cell r="C117">
            <v>830</v>
          </cell>
        </row>
        <row r="118">
          <cell r="C118">
            <v>913</v>
          </cell>
        </row>
        <row r="119">
          <cell r="C119">
            <v>996</v>
          </cell>
        </row>
        <row r="120">
          <cell r="C120">
            <v>1079</v>
          </cell>
        </row>
        <row r="121">
          <cell r="C121">
            <v>1162</v>
          </cell>
        </row>
        <row r="122">
          <cell r="C122">
            <v>1245</v>
          </cell>
        </row>
        <row r="123">
          <cell r="C123">
            <v>1328</v>
          </cell>
        </row>
        <row r="124">
          <cell r="C124">
            <v>1411</v>
          </cell>
        </row>
        <row r="125">
          <cell r="C125">
            <v>1494</v>
          </cell>
        </row>
        <row r="126">
          <cell r="C126">
            <v>1577</v>
          </cell>
        </row>
        <row r="127">
          <cell r="C127">
            <v>1660</v>
          </cell>
        </row>
        <row r="128">
          <cell r="C128">
            <v>1743</v>
          </cell>
        </row>
        <row r="129">
          <cell r="C129">
            <v>106</v>
          </cell>
        </row>
        <row r="130">
          <cell r="C130">
            <v>153</v>
          </cell>
        </row>
        <row r="131">
          <cell r="C131">
            <v>197</v>
          </cell>
        </row>
        <row r="132">
          <cell r="C132">
            <v>239</v>
          </cell>
        </row>
        <row r="133">
          <cell r="C133">
            <v>275</v>
          </cell>
        </row>
        <row r="134">
          <cell r="C134">
            <v>311</v>
          </cell>
        </row>
        <row r="135">
          <cell r="C135">
            <v>346</v>
          </cell>
        </row>
        <row r="136">
          <cell r="C136">
            <v>381</v>
          </cell>
        </row>
        <row r="137">
          <cell r="C137">
            <v>416</v>
          </cell>
        </row>
        <row r="138">
          <cell r="C138">
            <v>451</v>
          </cell>
        </row>
        <row r="139">
          <cell r="C139">
            <v>486</v>
          </cell>
        </row>
        <row r="140">
          <cell r="C140">
            <v>521</v>
          </cell>
        </row>
        <row r="141">
          <cell r="C141">
            <v>556</v>
          </cell>
        </row>
        <row r="142">
          <cell r="C142">
            <v>591</v>
          </cell>
        </row>
        <row r="143">
          <cell r="C143">
            <v>626</v>
          </cell>
        </row>
        <row r="144">
          <cell r="C144">
            <v>661</v>
          </cell>
        </row>
        <row r="145">
          <cell r="C145">
            <v>696</v>
          </cell>
        </row>
        <row r="146">
          <cell r="C146">
            <v>731</v>
          </cell>
        </row>
        <row r="147">
          <cell r="C147">
            <v>766</v>
          </cell>
        </row>
        <row r="148">
          <cell r="C148">
            <v>801</v>
          </cell>
        </row>
        <row r="149">
          <cell r="C149">
            <v>836</v>
          </cell>
        </row>
        <row r="150">
          <cell r="C150">
            <v>871</v>
          </cell>
        </row>
        <row r="151">
          <cell r="C151">
            <v>906</v>
          </cell>
        </row>
        <row r="152">
          <cell r="C152">
            <v>941</v>
          </cell>
        </row>
        <row r="153">
          <cell r="C153">
            <v>976</v>
          </cell>
        </row>
        <row r="154">
          <cell r="C154">
            <v>1011</v>
          </cell>
        </row>
        <row r="155">
          <cell r="C155">
            <v>1046</v>
          </cell>
        </row>
        <row r="156">
          <cell r="C156">
            <v>1081</v>
          </cell>
        </row>
        <row r="157">
          <cell r="C157">
            <v>1116</v>
          </cell>
        </row>
        <row r="158">
          <cell r="C158">
            <v>1151</v>
          </cell>
        </row>
        <row r="159">
          <cell r="C159">
            <v>1186</v>
          </cell>
        </row>
        <row r="160">
          <cell r="C160">
            <v>1221</v>
          </cell>
        </row>
        <row r="161">
          <cell r="C161">
            <v>1256</v>
          </cell>
        </row>
        <row r="162">
          <cell r="C162">
            <v>1291</v>
          </cell>
        </row>
        <row r="163">
          <cell r="C163">
            <v>1326</v>
          </cell>
        </row>
        <row r="164">
          <cell r="C164">
            <v>1361</v>
          </cell>
        </row>
        <row r="165">
          <cell r="C165">
            <v>1396</v>
          </cell>
        </row>
        <row r="166">
          <cell r="C166">
            <v>1431</v>
          </cell>
        </row>
        <row r="167">
          <cell r="C167">
            <v>1466</v>
          </cell>
        </row>
        <row r="168">
          <cell r="C168">
            <v>1501</v>
          </cell>
        </row>
        <row r="169">
          <cell r="C169">
            <v>1536</v>
          </cell>
        </row>
        <row r="170">
          <cell r="C170">
            <v>35</v>
          </cell>
        </row>
        <row r="171">
          <cell r="C171">
            <v>70</v>
          </cell>
        </row>
        <row r="172">
          <cell r="C172">
            <v>105</v>
          </cell>
        </row>
        <row r="173">
          <cell r="C173">
            <v>140</v>
          </cell>
        </row>
        <row r="174">
          <cell r="C174">
            <v>175</v>
          </cell>
        </row>
        <row r="175">
          <cell r="C175">
            <v>210</v>
          </cell>
        </row>
        <row r="176">
          <cell r="C176">
            <v>245</v>
          </cell>
        </row>
        <row r="177">
          <cell r="C177">
            <v>280</v>
          </cell>
        </row>
        <row r="178">
          <cell r="C178">
            <v>315</v>
          </cell>
        </row>
        <row r="179">
          <cell r="C179">
            <v>350</v>
          </cell>
        </row>
        <row r="180">
          <cell r="C180">
            <v>385</v>
          </cell>
        </row>
        <row r="181">
          <cell r="C181">
            <v>420</v>
          </cell>
        </row>
        <row r="182">
          <cell r="C182">
            <v>455</v>
          </cell>
        </row>
        <row r="183">
          <cell r="C183">
            <v>490</v>
          </cell>
        </row>
        <row r="184">
          <cell r="C184">
            <v>525</v>
          </cell>
        </row>
        <row r="185">
          <cell r="C185">
            <v>560</v>
          </cell>
        </row>
        <row r="186">
          <cell r="C186">
            <v>595</v>
          </cell>
        </row>
        <row r="187">
          <cell r="C187">
            <v>630</v>
          </cell>
        </row>
        <row r="188">
          <cell r="C188">
            <v>665</v>
          </cell>
        </row>
        <row r="189">
          <cell r="C189">
            <v>700</v>
          </cell>
        </row>
        <row r="190">
          <cell r="C190">
            <v>735</v>
          </cell>
        </row>
        <row r="191">
          <cell r="C191">
            <v>770</v>
          </cell>
        </row>
        <row r="192">
          <cell r="C192">
            <v>805</v>
          </cell>
        </row>
        <row r="193">
          <cell r="C193">
            <v>840</v>
          </cell>
        </row>
        <row r="194">
          <cell r="C194">
            <v>875</v>
          </cell>
        </row>
        <row r="195">
          <cell r="C195">
            <v>910</v>
          </cell>
        </row>
        <row r="196">
          <cell r="C196">
            <v>945</v>
          </cell>
        </row>
        <row r="197">
          <cell r="C197">
            <v>980</v>
          </cell>
        </row>
        <row r="198">
          <cell r="C198">
            <v>1015</v>
          </cell>
        </row>
        <row r="199">
          <cell r="C199">
            <v>1050</v>
          </cell>
        </row>
        <row r="200">
          <cell r="C200">
            <v>1085</v>
          </cell>
        </row>
        <row r="201">
          <cell r="C201">
            <v>1120</v>
          </cell>
        </row>
        <row r="202">
          <cell r="C202">
            <v>1155</v>
          </cell>
        </row>
        <row r="203">
          <cell r="C203">
            <v>1190</v>
          </cell>
        </row>
        <row r="204">
          <cell r="C204">
            <v>1225</v>
          </cell>
        </row>
        <row r="205">
          <cell r="C205">
            <v>1260</v>
          </cell>
        </row>
        <row r="206">
          <cell r="C206">
            <v>1295</v>
          </cell>
        </row>
        <row r="207">
          <cell r="C207">
            <v>1330</v>
          </cell>
        </row>
        <row r="208">
          <cell r="C208">
            <v>1365</v>
          </cell>
        </row>
        <row r="209">
          <cell r="C209">
            <v>1400</v>
          </cell>
        </row>
        <row r="210">
          <cell r="C210">
            <v>1435</v>
          </cell>
        </row>
        <row r="211">
          <cell r="C211">
            <v>1470</v>
          </cell>
        </row>
        <row r="212">
          <cell r="C212">
            <v>106</v>
          </cell>
        </row>
        <row r="213">
          <cell r="C213">
            <v>197</v>
          </cell>
        </row>
        <row r="214">
          <cell r="C214">
            <v>275</v>
          </cell>
        </row>
        <row r="215">
          <cell r="C215">
            <v>345</v>
          </cell>
        </row>
        <row r="216">
          <cell r="C216">
            <v>414</v>
          </cell>
        </row>
        <row r="217">
          <cell r="C217">
            <v>483</v>
          </cell>
        </row>
        <row r="218">
          <cell r="C218">
            <v>552</v>
          </cell>
        </row>
        <row r="219">
          <cell r="C219">
            <v>621</v>
          </cell>
        </row>
        <row r="220">
          <cell r="C220">
            <v>690</v>
          </cell>
        </row>
        <row r="221">
          <cell r="C221">
            <v>759</v>
          </cell>
        </row>
        <row r="222">
          <cell r="C222">
            <v>828</v>
          </cell>
        </row>
        <row r="223">
          <cell r="C223">
            <v>897</v>
          </cell>
        </row>
        <row r="224">
          <cell r="C224">
            <v>966</v>
          </cell>
        </row>
        <row r="225">
          <cell r="C225">
            <v>1035</v>
          </cell>
        </row>
        <row r="226">
          <cell r="C226">
            <v>1104</v>
          </cell>
        </row>
        <row r="227">
          <cell r="C227">
            <v>1173</v>
          </cell>
        </row>
        <row r="228">
          <cell r="C228">
            <v>1242</v>
          </cell>
        </row>
        <row r="229">
          <cell r="C229">
            <v>1311</v>
          </cell>
        </row>
        <row r="230">
          <cell r="C230">
            <v>1380</v>
          </cell>
        </row>
        <row r="231">
          <cell r="C231">
            <v>1449</v>
          </cell>
        </row>
        <row r="232">
          <cell r="C232">
            <v>1518</v>
          </cell>
        </row>
        <row r="233">
          <cell r="C233">
            <v>69</v>
          </cell>
        </row>
        <row r="234">
          <cell r="C234">
            <v>138</v>
          </cell>
        </row>
        <row r="235">
          <cell r="C235">
            <v>207</v>
          </cell>
        </row>
        <row r="236">
          <cell r="C236">
            <v>276</v>
          </cell>
        </row>
        <row r="237">
          <cell r="C237">
            <v>345</v>
          </cell>
        </row>
        <row r="238">
          <cell r="C238">
            <v>414</v>
          </cell>
        </row>
        <row r="239">
          <cell r="C239">
            <v>483</v>
          </cell>
        </row>
        <row r="240">
          <cell r="C240">
            <v>552</v>
          </cell>
        </row>
        <row r="241">
          <cell r="C241">
            <v>621</v>
          </cell>
        </row>
        <row r="242">
          <cell r="C242">
            <v>690</v>
          </cell>
        </row>
        <row r="243">
          <cell r="C243">
            <v>759</v>
          </cell>
        </row>
        <row r="244">
          <cell r="C244">
            <v>828</v>
          </cell>
        </row>
        <row r="245">
          <cell r="C245">
            <v>897</v>
          </cell>
        </row>
        <row r="246">
          <cell r="C246">
            <v>966</v>
          </cell>
        </row>
        <row r="247">
          <cell r="C247">
            <v>1035</v>
          </cell>
        </row>
        <row r="248">
          <cell r="C248">
            <v>1104</v>
          </cell>
        </row>
        <row r="249">
          <cell r="C249">
            <v>1173</v>
          </cell>
        </row>
        <row r="250">
          <cell r="C250">
            <v>1242</v>
          </cell>
        </row>
        <row r="251">
          <cell r="C251">
            <v>1311</v>
          </cell>
        </row>
        <row r="252">
          <cell r="C252">
            <v>1380</v>
          </cell>
        </row>
        <row r="253">
          <cell r="C253">
            <v>1449</v>
          </cell>
        </row>
        <row r="254">
          <cell r="C254">
            <v>148</v>
          </cell>
        </row>
        <row r="255">
          <cell r="C255">
            <v>331</v>
          </cell>
        </row>
        <row r="256">
          <cell r="C256">
            <v>413</v>
          </cell>
        </row>
        <row r="257">
          <cell r="C257">
            <v>498</v>
          </cell>
        </row>
        <row r="258">
          <cell r="C258">
            <v>581</v>
          </cell>
        </row>
        <row r="259">
          <cell r="C259">
            <v>183</v>
          </cell>
        </row>
        <row r="260">
          <cell r="C260">
            <v>265</v>
          </cell>
        </row>
        <row r="261">
          <cell r="C261">
            <v>350</v>
          </cell>
        </row>
        <row r="262">
          <cell r="C262">
            <v>433</v>
          </cell>
        </row>
        <row r="263">
          <cell r="C263">
            <v>82</v>
          </cell>
        </row>
        <row r="264">
          <cell r="C264">
            <v>167</v>
          </cell>
        </row>
        <row r="265">
          <cell r="C265">
            <v>250</v>
          </cell>
        </row>
        <row r="266">
          <cell r="C266">
            <v>85</v>
          </cell>
        </row>
        <row r="267">
          <cell r="C267">
            <v>168</v>
          </cell>
        </row>
        <row r="268">
          <cell r="C268">
            <v>83</v>
          </cell>
        </row>
        <row r="269">
          <cell r="C269">
            <v>148</v>
          </cell>
        </row>
        <row r="270">
          <cell r="C270">
            <v>331</v>
          </cell>
        </row>
        <row r="271">
          <cell r="C271">
            <v>413</v>
          </cell>
        </row>
        <row r="272">
          <cell r="C272">
            <v>498</v>
          </cell>
        </row>
        <row r="273">
          <cell r="C273">
            <v>581</v>
          </cell>
        </row>
        <row r="274">
          <cell r="C274">
            <v>183</v>
          </cell>
        </row>
        <row r="275">
          <cell r="C275">
            <v>265</v>
          </cell>
        </row>
        <row r="276">
          <cell r="C276">
            <v>350</v>
          </cell>
        </row>
        <row r="277">
          <cell r="C277">
            <v>433</v>
          </cell>
        </row>
        <row r="278">
          <cell r="C278">
            <v>82</v>
          </cell>
        </row>
        <row r="279">
          <cell r="C279">
            <v>167</v>
          </cell>
        </row>
        <row r="280">
          <cell r="C280">
            <v>250</v>
          </cell>
        </row>
        <row r="281">
          <cell r="C281">
            <v>85</v>
          </cell>
        </row>
        <row r="282">
          <cell r="C282">
            <v>168</v>
          </cell>
        </row>
        <row r="283">
          <cell r="C283">
            <v>83</v>
          </cell>
        </row>
        <row r="284">
          <cell r="C284">
            <v>91</v>
          </cell>
        </row>
        <row r="285">
          <cell r="C285">
            <v>183</v>
          </cell>
        </row>
        <row r="286">
          <cell r="C286">
            <v>275</v>
          </cell>
        </row>
        <row r="287">
          <cell r="C287">
            <v>367</v>
          </cell>
        </row>
        <row r="288">
          <cell r="C288">
            <v>92</v>
          </cell>
        </row>
        <row r="289">
          <cell r="C289">
            <v>184</v>
          </cell>
        </row>
        <row r="290">
          <cell r="C290">
            <v>276</v>
          </cell>
        </row>
        <row r="291">
          <cell r="C291">
            <v>92</v>
          </cell>
        </row>
        <row r="292">
          <cell r="C292">
            <v>184</v>
          </cell>
        </row>
        <row r="293">
          <cell r="C293">
            <v>92</v>
          </cell>
        </row>
        <row r="294">
          <cell r="C294">
            <v>47</v>
          </cell>
        </row>
        <row r="295">
          <cell r="C295">
            <v>91</v>
          </cell>
        </row>
        <row r="296">
          <cell r="C296">
            <v>133</v>
          </cell>
        </row>
        <row r="297">
          <cell r="C297">
            <v>169</v>
          </cell>
        </row>
        <row r="298">
          <cell r="C298">
            <v>44</v>
          </cell>
        </row>
        <row r="299">
          <cell r="C299">
            <v>86</v>
          </cell>
        </row>
        <row r="300">
          <cell r="C300">
            <v>122</v>
          </cell>
        </row>
        <row r="301">
          <cell r="C301">
            <v>42</v>
          </cell>
        </row>
        <row r="302">
          <cell r="C302">
            <v>78</v>
          </cell>
        </row>
        <row r="303">
          <cell r="C303">
            <v>36</v>
          </cell>
        </row>
        <row r="304">
          <cell r="C304">
            <v>91</v>
          </cell>
        </row>
        <row r="305">
          <cell r="C305">
            <v>169</v>
          </cell>
        </row>
        <row r="306">
          <cell r="C306">
            <v>78</v>
          </cell>
        </row>
        <row r="307">
          <cell r="C307">
            <v>183</v>
          </cell>
        </row>
        <row r="308">
          <cell r="C308">
            <v>265</v>
          </cell>
        </row>
        <row r="309">
          <cell r="C309">
            <v>350</v>
          </cell>
        </row>
        <row r="310">
          <cell r="C310">
            <v>433</v>
          </cell>
        </row>
        <row r="311">
          <cell r="C311">
            <v>82</v>
          </cell>
        </row>
        <row r="312">
          <cell r="C312">
            <v>167</v>
          </cell>
        </row>
        <row r="313">
          <cell r="C313">
            <v>250</v>
          </cell>
        </row>
        <row r="314">
          <cell r="C314">
            <v>85</v>
          </cell>
        </row>
        <row r="315">
          <cell r="C315">
            <v>168</v>
          </cell>
        </row>
        <row r="316">
          <cell r="C316">
            <v>83</v>
          </cell>
        </row>
        <row r="317">
          <cell r="C317">
            <v>82</v>
          </cell>
        </row>
        <row r="318">
          <cell r="C318">
            <v>167</v>
          </cell>
        </row>
        <row r="319">
          <cell r="C319">
            <v>250</v>
          </cell>
        </row>
        <row r="320">
          <cell r="C320">
            <v>85</v>
          </cell>
        </row>
        <row r="321">
          <cell r="C321">
            <v>168</v>
          </cell>
        </row>
        <row r="322">
          <cell r="C322">
            <v>83</v>
          </cell>
        </row>
        <row r="323">
          <cell r="C323">
            <v>85</v>
          </cell>
        </row>
        <row r="324">
          <cell r="C324">
            <v>168</v>
          </cell>
        </row>
        <row r="325">
          <cell r="C325">
            <v>83</v>
          </cell>
        </row>
        <row r="326">
          <cell r="C326">
            <v>83</v>
          </cell>
        </row>
        <row r="327">
          <cell r="C327">
            <v>183</v>
          </cell>
        </row>
        <row r="328">
          <cell r="C328">
            <v>265</v>
          </cell>
        </row>
        <row r="329">
          <cell r="C329">
            <v>350</v>
          </cell>
        </row>
        <row r="330">
          <cell r="C330">
            <v>433</v>
          </cell>
        </row>
        <row r="331">
          <cell r="C331">
            <v>82</v>
          </cell>
        </row>
        <row r="332">
          <cell r="C332">
            <v>167</v>
          </cell>
        </row>
        <row r="333">
          <cell r="C333">
            <v>250</v>
          </cell>
        </row>
        <row r="334">
          <cell r="C334">
            <v>85</v>
          </cell>
        </row>
        <row r="335">
          <cell r="C335">
            <v>168</v>
          </cell>
        </row>
        <row r="336">
          <cell r="C336">
            <v>83</v>
          </cell>
        </row>
        <row r="337">
          <cell r="C337">
            <v>82</v>
          </cell>
        </row>
        <row r="338">
          <cell r="C338">
            <v>167</v>
          </cell>
        </row>
        <row r="339">
          <cell r="C339">
            <v>250</v>
          </cell>
        </row>
        <row r="340">
          <cell r="C340">
            <v>85</v>
          </cell>
        </row>
        <row r="341">
          <cell r="C341">
            <v>168</v>
          </cell>
        </row>
        <row r="342">
          <cell r="C342">
            <v>83</v>
          </cell>
        </row>
        <row r="343">
          <cell r="C343">
            <v>85</v>
          </cell>
        </row>
        <row r="344">
          <cell r="C344">
            <v>168</v>
          </cell>
        </row>
        <row r="345">
          <cell r="C345">
            <v>83</v>
          </cell>
        </row>
        <row r="346">
          <cell r="C346">
            <v>83</v>
          </cell>
        </row>
        <row r="347">
          <cell r="C347">
            <v>92</v>
          </cell>
        </row>
        <row r="348">
          <cell r="C348">
            <v>184</v>
          </cell>
        </row>
        <row r="349">
          <cell r="C349">
            <v>276</v>
          </cell>
        </row>
        <row r="350">
          <cell r="C350">
            <v>92</v>
          </cell>
        </row>
        <row r="351">
          <cell r="C351">
            <v>184</v>
          </cell>
        </row>
        <row r="352">
          <cell r="C352">
            <v>92</v>
          </cell>
        </row>
        <row r="353">
          <cell r="C353">
            <v>92</v>
          </cell>
        </row>
        <row r="354">
          <cell r="C354">
            <v>184</v>
          </cell>
        </row>
        <row r="355">
          <cell r="C355">
            <v>92</v>
          </cell>
        </row>
        <row r="356">
          <cell r="C356">
            <v>92</v>
          </cell>
        </row>
        <row r="357">
          <cell r="C357">
            <v>44</v>
          </cell>
        </row>
        <row r="358">
          <cell r="C358">
            <v>86</v>
          </cell>
        </row>
        <row r="359">
          <cell r="C359">
            <v>122</v>
          </cell>
        </row>
        <row r="360">
          <cell r="C360">
            <v>42</v>
          </cell>
        </row>
        <row r="361">
          <cell r="C361">
            <v>78</v>
          </cell>
        </row>
        <row r="362">
          <cell r="C362">
            <v>36</v>
          </cell>
        </row>
        <row r="363">
          <cell r="C363">
            <v>42</v>
          </cell>
        </row>
        <row r="364">
          <cell r="C364">
            <v>78</v>
          </cell>
        </row>
        <row r="365">
          <cell r="C365">
            <v>36</v>
          </cell>
        </row>
        <row r="366">
          <cell r="C366">
            <v>36</v>
          </cell>
        </row>
        <row r="367">
          <cell r="C367">
            <v>78</v>
          </cell>
        </row>
        <row r="368">
          <cell r="C368">
            <v>1</v>
          </cell>
        </row>
        <row r="369">
          <cell r="C369">
            <v>0.5</v>
          </cell>
        </row>
        <row r="370">
          <cell r="C370">
            <v>0.25</v>
          </cell>
        </row>
        <row r="371">
          <cell r="C371">
            <v>0.25</v>
          </cell>
        </row>
        <row r="372">
          <cell r="C372">
            <v>0.5</v>
          </cell>
        </row>
        <row r="373">
          <cell r="C373">
            <v>0.25</v>
          </cell>
        </row>
        <row r="374">
          <cell r="C374">
            <v>0.25</v>
          </cell>
        </row>
        <row r="375">
          <cell r="C375">
            <v>0.5</v>
          </cell>
        </row>
        <row r="376">
          <cell r="C376">
            <v>0.25</v>
          </cell>
        </row>
        <row r="377">
          <cell r="C377">
            <v>0.7</v>
          </cell>
        </row>
        <row r="378">
          <cell r="C378">
            <v>0.9</v>
          </cell>
        </row>
        <row r="379">
          <cell r="C379">
            <v>0.9</v>
          </cell>
        </row>
        <row r="380">
          <cell r="C380">
            <v>0.7</v>
          </cell>
        </row>
        <row r="381">
          <cell r="C381">
            <v>102</v>
          </cell>
        </row>
        <row r="386">
          <cell r="C386">
            <v>84</v>
          </cell>
        </row>
        <row r="387">
          <cell r="C387">
            <v>167</v>
          </cell>
        </row>
        <row r="388">
          <cell r="C388">
            <v>250</v>
          </cell>
        </row>
        <row r="389">
          <cell r="C389">
            <v>333</v>
          </cell>
        </row>
        <row r="390">
          <cell r="C390">
            <v>416</v>
          </cell>
        </row>
        <row r="391">
          <cell r="C391">
            <v>499</v>
          </cell>
        </row>
        <row r="392">
          <cell r="C392">
            <v>582</v>
          </cell>
        </row>
        <row r="393">
          <cell r="C393">
            <v>665</v>
          </cell>
        </row>
        <row r="394">
          <cell r="C394">
            <v>748</v>
          </cell>
        </row>
        <row r="395">
          <cell r="C395">
            <v>831</v>
          </cell>
        </row>
        <row r="396">
          <cell r="C396">
            <v>914</v>
          </cell>
        </row>
        <row r="397">
          <cell r="C397">
            <v>997</v>
          </cell>
        </row>
        <row r="398">
          <cell r="C398">
            <v>1080</v>
          </cell>
        </row>
        <row r="399">
          <cell r="C399">
            <v>1163</v>
          </cell>
        </row>
        <row r="400">
          <cell r="C400">
            <v>1246</v>
          </cell>
        </row>
        <row r="401">
          <cell r="C401">
            <v>1329</v>
          </cell>
        </row>
        <row r="402">
          <cell r="C402">
            <v>1412</v>
          </cell>
        </row>
        <row r="403">
          <cell r="C403">
            <v>1495</v>
          </cell>
        </row>
        <row r="404">
          <cell r="C404">
            <v>1578</v>
          </cell>
        </row>
        <row r="405">
          <cell r="C405">
            <v>1661</v>
          </cell>
        </row>
        <row r="406">
          <cell r="C406">
            <v>1744</v>
          </cell>
        </row>
        <row r="407">
          <cell r="C407">
            <v>85</v>
          </cell>
        </row>
        <row r="408">
          <cell r="C408">
            <v>171</v>
          </cell>
        </row>
        <row r="409">
          <cell r="C409">
            <v>257</v>
          </cell>
        </row>
        <row r="410">
          <cell r="C410">
            <v>343</v>
          </cell>
        </row>
        <row r="411">
          <cell r="C411">
            <v>429</v>
          </cell>
        </row>
        <row r="412">
          <cell r="C412">
            <v>515</v>
          </cell>
        </row>
        <row r="413">
          <cell r="C413">
            <v>601</v>
          </cell>
        </row>
        <row r="414">
          <cell r="C414">
            <v>687</v>
          </cell>
        </row>
        <row r="415">
          <cell r="C415">
            <v>773</v>
          </cell>
        </row>
        <row r="416">
          <cell r="C416">
            <v>859</v>
          </cell>
        </row>
        <row r="417">
          <cell r="C417">
            <v>945</v>
          </cell>
        </row>
        <row r="418">
          <cell r="C418">
            <v>1031</v>
          </cell>
        </row>
        <row r="419">
          <cell r="C419">
            <v>1117</v>
          </cell>
        </row>
        <row r="420">
          <cell r="C420">
            <v>1203</v>
          </cell>
        </row>
        <row r="421">
          <cell r="C421">
            <v>1289</v>
          </cell>
        </row>
        <row r="422">
          <cell r="C422">
            <v>1375</v>
          </cell>
        </row>
        <row r="423">
          <cell r="C423">
            <v>1461</v>
          </cell>
        </row>
        <row r="424">
          <cell r="C424">
            <v>1547</v>
          </cell>
        </row>
        <row r="425">
          <cell r="C425">
            <v>1633</v>
          </cell>
        </row>
        <row r="426">
          <cell r="C426">
            <v>1719</v>
          </cell>
        </row>
        <row r="427">
          <cell r="C427">
            <v>1805</v>
          </cell>
        </row>
        <row r="428">
          <cell r="C428">
            <v>84</v>
          </cell>
        </row>
        <row r="429">
          <cell r="C429">
            <v>167</v>
          </cell>
        </row>
        <row r="430">
          <cell r="C430">
            <v>250</v>
          </cell>
        </row>
        <row r="431">
          <cell r="C431">
            <v>333</v>
          </cell>
        </row>
        <row r="432">
          <cell r="C432">
            <v>416</v>
          </cell>
        </row>
        <row r="433">
          <cell r="C433">
            <v>499</v>
          </cell>
        </row>
        <row r="434">
          <cell r="C434">
            <v>582</v>
          </cell>
        </row>
        <row r="435">
          <cell r="C435">
            <v>665</v>
          </cell>
        </row>
        <row r="436">
          <cell r="C436">
            <v>748</v>
          </cell>
        </row>
        <row r="437">
          <cell r="C437">
            <v>831</v>
          </cell>
        </row>
        <row r="438">
          <cell r="C438">
            <v>914</v>
          </cell>
        </row>
        <row r="439">
          <cell r="C439">
            <v>997</v>
          </cell>
        </row>
        <row r="440">
          <cell r="C440">
            <v>1080</v>
          </cell>
        </row>
        <row r="441">
          <cell r="C441">
            <v>1163</v>
          </cell>
        </row>
        <row r="442">
          <cell r="C442">
            <v>1246</v>
          </cell>
        </row>
        <row r="443">
          <cell r="C443">
            <v>1329</v>
          </cell>
        </row>
        <row r="444">
          <cell r="C444">
            <v>1412</v>
          </cell>
        </row>
        <row r="445">
          <cell r="C445">
            <v>1495</v>
          </cell>
        </row>
        <row r="446">
          <cell r="C446">
            <v>1578</v>
          </cell>
        </row>
        <row r="447">
          <cell r="C447">
            <v>1661</v>
          </cell>
        </row>
        <row r="448">
          <cell r="C448">
            <v>1744</v>
          </cell>
        </row>
        <row r="449">
          <cell r="C449">
            <v>36</v>
          </cell>
        </row>
        <row r="450">
          <cell r="C450">
            <v>71</v>
          </cell>
        </row>
        <row r="451">
          <cell r="C451">
            <v>106</v>
          </cell>
        </row>
        <row r="452">
          <cell r="C452">
            <v>141</v>
          </cell>
        </row>
        <row r="453">
          <cell r="C453">
            <v>176</v>
          </cell>
        </row>
        <row r="454">
          <cell r="C454">
            <v>211</v>
          </cell>
        </row>
        <row r="455">
          <cell r="C455">
            <v>246</v>
          </cell>
        </row>
        <row r="456">
          <cell r="C456">
            <v>281</v>
          </cell>
        </row>
        <row r="457">
          <cell r="C457">
            <v>316</v>
          </cell>
        </row>
        <row r="458">
          <cell r="C458">
            <v>351</v>
          </cell>
        </row>
        <row r="459">
          <cell r="C459">
            <v>386</v>
          </cell>
        </row>
        <row r="460">
          <cell r="C460">
            <v>421</v>
          </cell>
        </row>
        <row r="461">
          <cell r="C461">
            <v>456</v>
          </cell>
        </row>
        <row r="462">
          <cell r="C462">
            <v>491</v>
          </cell>
        </row>
        <row r="463">
          <cell r="C463">
            <v>526</v>
          </cell>
        </row>
        <row r="464">
          <cell r="C464">
            <v>561</v>
          </cell>
        </row>
        <row r="465">
          <cell r="C465">
            <v>596</v>
          </cell>
        </row>
        <row r="466">
          <cell r="C466">
            <v>631</v>
          </cell>
        </row>
        <row r="467">
          <cell r="C467">
            <v>666</v>
          </cell>
        </row>
        <row r="468">
          <cell r="C468">
            <v>701</v>
          </cell>
        </row>
        <row r="469">
          <cell r="C469">
            <v>736</v>
          </cell>
        </row>
        <row r="470">
          <cell r="C470">
            <v>771</v>
          </cell>
        </row>
        <row r="471">
          <cell r="C471">
            <v>806</v>
          </cell>
        </row>
        <row r="472">
          <cell r="C472">
            <v>841</v>
          </cell>
        </row>
        <row r="473">
          <cell r="C473">
            <v>876</v>
          </cell>
        </row>
        <row r="474">
          <cell r="C474">
            <v>911</v>
          </cell>
        </row>
        <row r="475">
          <cell r="C475">
            <v>946</v>
          </cell>
        </row>
        <row r="476">
          <cell r="C476">
            <v>981</v>
          </cell>
        </row>
        <row r="477">
          <cell r="C477">
            <v>1016</v>
          </cell>
        </row>
        <row r="478">
          <cell r="C478">
            <v>1051</v>
          </cell>
        </row>
        <row r="479">
          <cell r="C479">
            <v>1086</v>
          </cell>
        </row>
        <row r="480">
          <cell r="C480">
            <v>1121</v>
          </cell>
        </row>
        <row r="481">
          <cell r="C481">
            <v>1156</v>
          </cell>
        </row>
        <row r="482">
          <cell r="C482">
            <v>1191</v>
          </cell>
        </row>
        <row r="483">
          <cell r="C483">
            <v>1226</v>
          </cell>
        </row>
        <row r="484">
          <cell r="C484">
            <v>1261</v>
          </cell>
        </row>
        <row r="485">
          <cell r="C485">
            <v>1296</v>
          </cell>
        </row>
        <row r="486">
          <cell r="C486">
            <v>1331</v>
          </cell>
        </row>
        <row r="487">
          <cell r="C487">
            <v>1366</v>
          </cell>
        </row>
        <row r="488">
          <cell r="C488">
            <v>1401</v>
          </cell>
        </row>
        <row r="489">
          <cell r="C489">
            <v>1436</v>
          </cell>
        </row>
        <row r="490">
          <cell r="C490">
            <v>1471</v>
          </cell>
        </row>
        <row r="491">
          <cell r="C491">
            <v>70</v>
          </cell>
        </row>
        <row r="492">
          <cell r="C492">
            <v>139</v>
          </cell>
        </row>
        <row r="493">
          <cell r="C493">
            <v>208</v>
          </cell>
        </row>
        <row r="494">
          <cell r="C494">
            <v>277</v>
          </cell>
        </row>
        <row r="495">
          <cell r="C495">
            <v>346</v>
          </cell>
        </row>
        <row r="496">
          <cell r="C496">
            <v>415</v>
          </cell>
        </row>
        <row r="497">
          <cell r="C497">
            <v>484</v>
          </cell>
        </row>
        <row r="498">
          <cell r="C498">
            <v>553</v>
          </cell>
        </row>
        <row r="499">
          <cell r="C499">
            <v>622</v>
          </cell>
        </row>
        <row r="500">
          <cell r="C500">
            <v>691</v>
          </cell>
        </row>
        <row r="501">
          <cell r="C501">
            <v>760</v>
          </cell>
        </row>
        <row r="502">
          <cell r="C502">
            <v>829</v>
          </cell>
        </row>
        <row r="503">
          <cell r="C503">
            <v>898</v>
          </cell>
        </row>
        <row r="504">
          <cell r="C504">
            <v>967</v>
          </cell>
        </row>
        <row r="505">
          <cell r="C505">
            <v>1036</v>
          </cell>
        </row>
        <row r="506">
          <cell r="C506">
            <v>1105</v>
          </cell>
        </row>
        <row r="507">
          <cell r="C507">
            <v>1174</v>
          </cell>
        </row>
        <row r="508">
          <cell r="C508">
            <v>1243</v>
          </cell>
        </row>
        <row r="509">
          <cell r="C509">
            <v>1312</v>
          </cell>
        </row>
        <row r="510">
          <cell r="C510">
            <v>1381</v>
          </cell>
        </row>
        <row r="511">
          <cell r="C511">
            <v>1450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>
        <row r="4">
          <cell r="C4">
            <v>191</v>
          </cell>
        </row>
        <row r="5">
          <cell r="C5">
            <v>302</v>
          </cell>
        </row>
        <row r="6">
          <cell r="C6">
            <v>436</v>
          </cell>
        </row>
        <row r="7">
          <cell r="C7">
            <v>501</v>
          </cell>
        </row>
        <row r="8">
          <cell r="C8">
            <v>566</v>
          </cell>
        </row>
        <row r="9">
          <cell r="C9">
            <v>632</v>
          </cell>
        </row>
        <row r="10">
          <cell r="C10">
            <v>697</v>
          </cell>
        </row>
        <row r="11">
          <cell r="C11">
            <v>763</v>
          </cell>
        </row>
        <row r="12">
          <cell r="C12">
            <v>829</v>
          </cell>
        </row>
        <row r="13">
          <cell r="C13">
            <v>895</v>
          </cell>
        </row>
        <row r="14">
          <cell r="C14">
            <v>961</v>
          </cell>
        </row>
        <row r="15">
          <cell r="C15">
            <v>1027</v>
          </cell>
        </row>
        <row r="16">
          <cell r="C16">
            <v>1093</v>
          </cell>
        </row>
        <row r="17">
          <cell r="C17">
            <v>1159</v>
          </cell>
        </row>
        <row r="18">
          <cell r="C18">
            <v>1225</v>
          </cell>
        </row>
        <row r="19">
          <cell r="C19">
            <v>1291</v>
          </cell>
        </row>
        <row r="20">
          <cell r="C20">
            <v>1357</v>
          </cell>
        </row>
        <row r="21">
          <cell r="C21">
            <v>1423</v>
          </cell>
        </row>
        <row r="22">
          <cell r="C22">
            <v>1489</v>
          </cell>
        </row>
        <row r="23">
          <cell r="C23">
            <v>1555</v>
          </cell>
        </row>
        <row r="24">
          <cell r="C24">
            <v>1621</v>
          </cell>
        </row>
        <row r="25">
          <cell r="C25">
            <v>66</v>
          </cell>
        </row>
        <row r="26">
          <cell r="C26">
            <v>132</v>
          </cell>
        </row>
        <row r="27">
          <cell r="C27">
            <v>198</v>
          </cell>
        </row>
        <row r="28">
          <cell r="C28">
            <v>264</v>
          </cell>
        </row>
        <row r="29">
          <cell r="C29">
            <v>330</v>
          </cell>
        </row>
        <row r="30">
          <cell r="C30">
            <v>396</v>
          </cell>
        </row>
        <row r="31">
          <cell r="C31">
            <v>462</v>
          </cell>
        </row>
        <row r="32">
          <cell r="C32">
            <v>528</v>
          </cell>
        </row>
        <row r="33">
          <cell r="C33">
            <v>594</v>
          </cell>
        </row>
        <row r="34">
          <cell r="C34">
            <v>660</v>
          </cell>
        </row>
        <row r="35">
          <cell r="C35">
            <v>726</v>
          </cell>
        </row>
        <row r="36">
          <cell r="C36">
            <v>792</v>
          </cell>
        </row>
        <row r="37">
          <cell r="C37">
            <v>858</v>
          </cell>
        </row>
        <row r="38">
          <cell r="C38">
            <v>924</v>
          </cell>
        </row>
        <row r="39">
          <cell r="C39">
            <v>990</v>
          </cell>
        </row>
        <row r="40">
          <cell r="C40">
            <v>1056</v>
          </cell>
        </row>
        <row r="41">
          <cell r="C41">
            <v>1122</v>
          </cell>
        </row>
        <row r="42">
          <cell r="C42">
            <v>1188</v>
          </cell>
        </row>
        <row r="43">
          <cell r="C43">
            <v>1254</v>
          </cell>
        </row>
        <row r="44">
          <cell r="C44">
            <v>1320</v>
          </cell>
        </row>
        <row r="45">
          <cell r="C45">
            <v>1386</v>
          </cell>
        </row>
        <row r="46">
          <cell r="C46">
            <v>111</v>
          </cell>
        </row>
        <row r="47">
          <cell r="C47">
            <v>245</v>
          </cell>
        </row>
        <row r="48">
          <cell r="C48">
            <v>310</v>
          </cell>
        </row>
        <row r="49">
          <cell r="C49">
            <v>375</v>
          </cell>
        </row>
        <row r="50">
          <cell r="C50">
            <v>441</v>
          </cell>
        </row>
        <row r="51">
          <cell r="C51">
            <v>134</v>
          </cell>
        </row>
        <row r="52">
          <cell r="C52">
            <v>199</v>
          </cell>
        </row>
        <row r="53">
          <cell r="C53">
            <v>264</v>
          </cell>
        </row>
        <row r="54">
          <cell r="C54">
            <v>330</v>
          </cell>
        </row>
        <row r="55">
          <cell r="C55">
            <v>65</v>
          </cell>
        </row>
        <row r="56">
          <cell r="C56">
            <v>130</v>
          </cell>
        </row>
        <row r="57">
          <cell r="C57">
            <v>196</v>
          </cell>
        </row>
        <row r="58">
          <cell r="C58">
            <v>65</v>
          </cell>
        </row>
        <row r="59">
          <cell r="C59">
            <v>131</v>
          </cell>
        </row>
        <row r="60">
          <cell r="C60">
            <v>66</v>
          </cell>
        </row>
        <row r="61">
          <cell r="C61">
            <v>134</v>
          </cell>
        </row>
        <row r="62">
          <cell r="C62">
            <v>199</v>
          </cell>
        </row>
        <row r="63">
          <cell r="C63">
            <v>264</v>
          </cell>
        </row>
        <row r="64">
          <cell r="C64">
            <v>330</v>
          </cell>
        </row>
        <row r="65">
          <cell r="C65">
            <v>65</v>
          </cell>
        </row>
        <row r="66">
          <cell r="C66">
            <v>130</v>
          </cell>
        </row>
        <row r="67">
          <cell r="C67">
            <v>196</v>
          </cell>
        </row>
        <row r="68">
          <cell r="C68">
            <v>65</v>
          </cell>
        </row>
        <row r="69">
          <cell r="C69">
            <v>131</v>
          </cell>
        </row>
        <row r="70">
          <cell r="C70">
            <v>66</v>
          </cell>
        </row>
        <row r="71">
          <cell r="C71">
            <v>65</v>
          </cell>
        </row>
        <row r="72">
          <cell r="C72">
            <v>130</v>
          </cell>
        </row>
        <row r="73">
          <cell r="C73">
            <v>196</v>
          </cell>
        </row>
        <row r="74">
          <cell r="C74">
            <v>65</v>
          </cell>
        </row>
        <row r="75">
          <cell r="C75">
            <v>131</v>
          </cell>
        </row>
        <row r="76">
          <cell r="C76">
            <v>66</v>
          </cell>
        </row>
        <row r="77">
          <cell r="C77">
            <v>65</v>
          </cell>
        </row>
        <row r="78">
          <cell r="C78">
            <v>131</v>
          </cell>
        </row>
        <row r="79">
          <cell r="C79">
            <v>66</v>
          </cell>
        </row>
        <row r="80">
          <cell r="C80">
            <v>66</v>
          </cell>
        </row>
        <row r="81">
          <cell r="C81">
            <v>0.9</v>
          </cell>
        </row>
        <row r="82">
          <cell r="C82">
            <v>0.9</v>
          </cell>
        </row>
        <row r="83">
          <cell r="C83">
            <v>1</v>
          </cell>
        </row>
        <row r="84">
          <cell r="C84">
            <v>0.5</v>
          </cell>
        </row>
        <row r="85">
          <cell r="C85">
            <v>0.25</v>
          </cell>
        </row>
        <row r="86">
          <cell r="C86">
            <v>0.25</v>
          </cell>
        </row>
        <row r="87">
          <cell r="C87">
            <v>0.5</v>
          </cell>
        </row>
        <row r="88">
          <cell r="C88">
            <v>0.25</v>
          </cell>
        </row>
        <row r="89">
          <cell r="C89">
            <v>0.25</v>
          </cell>
        </row>
        <row r="90">
          <cell r="C90">
            <v>0.5</v>
          </cell>
        </row>
        <row r="91">
          <cell r="C91">
            <v>0.25</v>
          </cell>
        </row>
        <row r="92">
          <cell r="C92">
            <v>0.25</v>
          </cell>
        </row>
        <row r="93">
          <cell r="C93">
            <v>0.2</v>
          </cell>
        </row>
        <row r="94">
          <cell r="C94">
            <v>0.4</v>
          </cell>
        </row>
        <row r="95">
          <cell r="C95">
            <v>65</v>
          </cell>
        </row>
        <row r="96">
          <cell r="C96">
            <v>131</v>
          </cell>
        </row>
        <row r="97">
          <cell r="C97">
            <v>197</v>
          </cell>
        </row>
        <row r="98">
          <cell r="C98">
            <v>263</v>
          </cell>
        </row>
        <row r="99">
          <cell r="C99">
            <v>329</v>
          </cell>
        </row>
        <row r="100">
          <cell r="C100">
            <v>395</v>
          </cell>
        </row>
        <row r="101">
          <cell r="C101">
            <v>461</v>
          </cell>
        </row>
        <row r="102">
          <cell r="C102">
            <v>527</v>
          </cell>
        </row>
        <row r="103">
          <cell r="C103">
            <v>593</v>
          </cell>
        </row>
        <row r="104">
          <cell r="C104">
            <v>659</v>
          </cell>
        </row>
        <row r="105">
          <cell r="C105">
            <v>725</v>
          </cell>
        </row>
        <row r="106">
          <cell r="C106">
            <v>791</v>
          </cell>
        </row>
        <row r="107">
          <cell r="C107">
            <v>857</v>
          </cell>
        </row>
        <row r="108">
          <cell r="C108">
            <v>923</v>
          </cell>
        </row>
        <row r="109">
          <cell r="C109">
            <v>989</v>
          </cell>
        </row>
        <row r="110">
          <cell r="C110">
            <v>1055</v>
          </cell>
        </row>
        <row r="111">
          <cell r="C111">
            <v>1121</v>
          </cell>
        </row>
        <row r="112">
          <cell r="C112">
            <v>1187</v>
          </cell>
        </row>
        <row r="113">
          <cell r="C113">
            <v>1253</v>
          </cell>
        </row>
        <row r="114">
          <cell r="C114">
            <v>1319</v>
          </cell>
        </row>
        <row r="115">
          <cell r="C115">
            <v>1385</v>
          </cell>
        </row>
      </sheetData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385"/>
  <sheetViews>
    <sheetView workbookViewId="0"/>
  </sheetViews>
  <sheetFormatPr defaultColWidth="9" defaultRowHeight="13" x14ac:dyDescent="0.2"/>
  <cols>
    <col min="1" max="1" width="9" style="1"/>
    <col min="2" max="2" width="52.36328125" style="1" customWidth="1"/>
    <col min="3" max="4" width="8.453125" style="1" customWidth="1"/>
    <col min="5" max="5" width="6.6328125" style="1" bestFit="1" customWidth="1"/>
    <col min="6" max="6" width="27.90625" style="1" bestFit="1" customWidth="1"/>
    <col min="7" max="7" width="34.90625" style="1" bestFit="1" customWidth="1"/>
    <col min="8" max="9" width="36.08984375" style="1" bestFit="1" customWidth="1"/>
    <col min="10" max="11" width="9" style="1" customWidth="1"/>
    <col min="12" max="16384" width="9" style="1"/>
  </cols>
  <sheetData>
    <row r="1" spans="1:7" x14ac:dyDescent="0.2">
      <c r="B1" s="1" t="s">
        <v>0</v>
      </c>
    </row>
    <row r="3" spans="1:7" x14ac:dyDescent="0.2">
      <c r="A3" s="2" t="s">
        <v>1</v>
      </c>
      <c r="B3" s="3" t="s">
        <v>2</v>
      </c>
      <c r="C3" s="4" t="s">
        <v>3</v>
      </c>
      <c r="D3" s="5"/>
    </row>
    <row r="4" spans="1:7" x14ac:dyDescent="0.2">
      <c r="A4" s="2">
        <v>1</v>
      </c>
      <c r="B4" s="2" t="s">
        <v>4</v>
      </c>
      <c r="C4" s="6">
        <v>256</v>
      </c>
      <c r="D4" s="7"/>
      <c r="E4"/>
      <c r="F4"/>
      <c r="G4"/>
    </row>
    <row r="5" spans="1:7" x14ac:dyDescent="0.2">
      <c r="A5" s="2">
        <v>2</v>
      </c>
      <c r="B5" s="2" t="s">
        <v>5</v>
      </c>
      <c r="C5" s="6">
        <v>404</v>
      </c>
      <c r="D5" s="7"/>
      <c r="E5"/>
      <c r="F5"/>
      <c r="G5"/>
    </row>
    <row r="6" spans="1:7" x14ac:dyDescent="0.2">
      <c r="A6" s="2">
        <v>3</v>
      </c>
      <c r="B6" s="2" t="s">
        <v>6</v>
      </c>
      <c r="C6" s="6">
        <v>587</v>
      </c>
      <c r="D6" s="7"/>
      <c r="E6"/>
      <c r="F6"/>
      <c r="G6"/>
    </row>
    <row r="7" spans="1:7" x14ac:dyDescent="0.2">
      <c r="A7" s="2">
        <v>4</v>
      </c>
      <c r="B7" s="2" t="s">
        <v>7</v>
      </c>
      <c r="C7" s="6">
        <v>669</v>
      </c>
      <c r="D7" s="7"/>
      <c r="E7"/>
      <c r="F7"/>
      <c r="G7"/>
    </row>
    <row r="8" spans="1:7" x14ac:dyDescent="0.2">
      <c r="A8" s="2">
        <v>5</v>
      </c>
      <c r="B8" s="2" t="s">
        <v>8</v>
      </c>
      <c r="C8" s="6">
        <v>754</v>
      </c>
      <c r="D8" s="7"/>
      <c r="E8"/>
      <c r="F8"/>
      <c r="G8"/>
    </row>
    <row r="9" spans="1:7" x14ac:dyDescent="0.2">
      <c r="A9" s="2">
        <v>6</v>
      </c>
      <c r="B9" s="2" t="s">
        <v>9</v>
      </c>
      <c r="C9" s="6">
        <v>837</v>
      </c>
      <c r="D9" s="7"/>
      <c r="E9"/>
      <c r="F9"/>
      <c r="G9"/>
    </row>
    <row r="10" spans="1:7" x14ac:dyDescent="0.2">
      <c r="A10" s="2">
        <v>7</v>
      </c>
      <c r="B10" s="2" t="s">
        <v>10</v>
      </c>
      <c r="C10" s="6">
        <v>921</v>
      </c>
      <c r="D10" s="7"/>
      <c r="E10"/>
      <c r="F10"/>
      <c r="G10"/>
    </row>
    <row r="11" spans="1:7" x14ac:dyDescent="0.2">
      <c r="A11" s="2">
        <v>8</v>
      </c>
      <c r="B11" s="2" t="s">
        <v>11</v>
      </c>
      <c r="C11" s="6">
        <f>C10+83</f>
        <v>1004</v>
      </c>
      <c r="D11" s="7"/>
      <c r="E11"/>
      <c r="F11"/>
      <c r="G11"/>
    </row>
    <row r="12" spans="1:7" x14ac:dyDescent="0.2">
      <c r="A12" s="2">
        <v>9</v>
      </c>
      <c r="B12" s="2" t="s">
        <v>12</v>
      </c>
      <c r="C12" s="6">
        <f t="shared" ref="C12:C24" si="0">C11+83</f>
        <v>1087</v>
      </c>
      <c r="D12" s="7"/>
      <c r="E12"/>
      <c r="F12"/>
      <c r="G12"/>
    </row>
    <row r="13" spans="1:7" x14ac:dyDescent="0.2">
      <c r="A13" s="2">
        <v>10</v>
      </c>
      <c r="B13" s="2" t="s">
        <v>13</v>
      </c>
      <c r="C13" s="6">
        <f t="shared" si="0"/>
        <v>1170</v>
      </c>
      <c r="D13" s="7"/>
      <c r="E13"/>
      <c r="F13"/>
      <c r="G13"/>
    </row>
    <row r="14" spans="1:7" x14ac:dyDescent="0.2">
      <c r="A14" s="2">
        <v>11</v>
      </c>
      <c r="B14" s="2" t="s">
        <v>14</v>
      </c>
      <c r="C14" s="6">
        <f t="shared" si="0"/>
        <v>1253</v>
      </c>
      <c r="D14" s="7"/>
      <c r="E14"/>
      <c r="F14"/>
      <c r="G14"/>
    </row>
    <row r="15" spans="1:7" x14ac:dyDescent="0.2">
      <c r="A15" s="2">
        <v>12</v>
      </c>
      <c r="B15" s="2" t="s">
        <v>15</v>
      </c>
      <c r="C15" s="6">
        <f t="shared" si="0"/>
        <v>1336</v>
      </c>
      <c r="D15" s="7"/>
      <c r="E15"/>
      <c r="F15"/>
      <c r="G15"/>
    </row>
    <row r="16" spans="1:7" x14ac:dyDescent="0.2">
      <c r="A16" s="2">
        <v>13</v>
      </c>
      <c r="B16" s="2" t="s">
        <v>16</v>
      </c>
      <c r="C16" s="6">
        <f t="shared" si="0"/>
        <v>1419</v>
      </c>
      <c r="D16" s="7"/>
      <c r="E16"/>
      <c r="F16"/>
      <c r="G16"/>
    </row>
    <row r="17" spans="1:7" x14ac:dyDescent="0.2">
      <c r="A17" s="2">
        <v>14</v>
      </c>
      <c r="B17" s="2" t="s">
        <v>17</v>
      </c>
      <c r="C17" s="6">
        <f t="shared" si="0"/>
        <v>1502</v>
      </c>
      <c r="D17" s="7"/>
      <c r="E17"/>
      <c r="F17"/>
      <c r="G17"/>
    </row>
    <row r="18" spans="1:7" x14ac:dyDescent="0.2">
      <c r="A18" s="2">
        <v>15</v>
      </c>
      <c r="B18" s="2" t="s">
        <v>18</v>
      </c>
      <c r="C18" s="6">
        <f t="shared" si="0"/>
        <v>1585</v>
      </c>
      <c r="D18" s="7"/>
      <c r="E18"/>
      <c r="F18"/>
      <c r="G18"/>
    </row>
    <row r="19" spans="1:7" x14ac:dyDescent="0.2">
      <c r="A19" s="2">
        <v>16</v>
      </c>
      <c r="B19" s="2" t="s">
        <v>19</v>
      </c>
      <c r="C19" s="6">
        <f t="shared" si="0"/>
        <v>1668</v>
      </c>
      <c r="D19" s="7"/>
      <c r="E19"/>
      <c r="F19"/>
      <c r="G19"/>
    </row>
    <row r="20" spans="1:7" x14ac:dyDescent="0.2">
      <c r="A20" s="2">
        <v>17</v>
      </c>
      <c r="B20" s="2" t="s">
        <v>20</v>
      </c>
      <c r="C20" s="6">
        <f t="shared" si="0"/>
        <v>1751</v>
      </c>
      <c r="D20" s="7"/>
      <c r="E20"/>
      <c r="F20"/>
      <c r="G20"/>
    </row>
    <row r="21" spans="1:7" x14ac:dyDescent="0.2">
      <c r="A21" s="2">
        <v>18</v>
      </c>
      <c r="B21" s="2" t="s">
        <v>21</v>
      </c>
      <c r="C21" s="6">
        <f t="shared" si="0"/>
        <v>1834</v>
      </c>
      <c r="D21" s="7"/>
      <c r="E21"/>
      <c r="F21"/>
      <c r="G21"/>
    </row>
    <row r="22" spans="1:7" x14ac:dyDescent="0.2">
      <c r="A22" s="2">
        <v>19</v>
      </c>
      <c r="B22" s="2" t="s">
        <v>22</v>
      </c>
      <c r="C22" s="6">
        <f t="shared" si="0"/>
        <v>1917</v>
      </c>
      <c r="D22" s="7"/>
      <c r="E22"/>
      <c r="F22"/>
      <c r="G22"/>
    </row>
    <row r="23" spans="1:7" x14ac:dyDescent="0.2">
      <c r="A23" s="2">
        <v>20</v>
      </c>
      <c r="B23" s="2" t="s">
        <v>23</v>
      </c>
      <c r="C23" s="6">
        <f t="shared" si="0"/>
        <v>2000</v>
      </c>
      <c r="D23" s="7"/>
      <c r="E23"/>
      <c r="F23"/>
      <c r="G23"/>
    </row>
    <row r="24" spans="1:7" x14ac:dyDescent="0.2">
      <c r="A24" s="2">
        <v>21</v>
      </c>
      <c r="B24" s="2" t="s">
        <v>24</v>
      </c>
      <c r="C24" s="6">
        <f t="shared" si="0"/>
        <v>2083</v>
      </c>
      <c r="D24" s="7"/>
      <c r="E24"/>
      <c r="F24"/>
      <c r="G24"/>
    </row>
    <row r="25" spans="1:7" x14ac:dyDescent="0.2">
      <c r="A25" s="2">
        <v>22</v>
      </c>
      <c r="B25" s="2" t="s">
        <v>25</v>
      </c>
      <c r="C25" s="8">
        <v>83</v>
      </c>
      <c r="D25" s="7"/>
    </row>
    <row r="26" spans="1:7" x14ac:dyDescent="0.2">
      <c r="A26" s="2">
        <v>23</v>
      </c>
      <c r="B26" s="2" t="s">
        <v>26</v>
      </c>
      <c r="C26" s="8">
        <f>C25+83</f>
        <v>166</v>
      </c>
      <c r="D26" s="7"/>
    </row>
    <row r="27" spans="1:7" x14ac:dyDescent="0.2">
      <c r="A27" s="2">
        <v>24</v>
      </c>
      <c r="B27" s="2" t="s">
        <v>27</v>
      </c>
      <c r="C27" s="8">
        <f t="shared" ref="C27:C45" si="1">C26+83</f>
        <v>249</v>
      </c>
      <c r="D27" s="7"/>
    </row>
    <row r="28" spans="1:7" x14ac:dyDescent="0.2">
      <c r="A28" s="2">
        <v>25</v>
      </c>
      <c r="B28" s="2" t="s">
        <v>28</v>
      </c>
      <c r="C28" s="8">
        <f t="shared" si="1"/>
        <v>332</v>
      </c>
      <c r="D28" s="7"/>
    </row>
    <row r="29" spans="1:7" x14ac:dyDescent="0.2">
      <c r="A29" s="2">
        <v>26</v>
      </c>
      <c r="B29" s="2" t="s">
        <v>29</v>
      </c>
      <c r="C29" s="8">
        <f t="shared" si="1"/>
        <v>415</v>
      </c>
      <c r="D29" s="7"/>
    </row>
    <row r="30" spans="1:7" x14ac:dyDescent="0.2">
      <c r="A30" s="2">
        <v>27</v>
      </c>
      <c r="B30" s="2" t="s">
        <v>30</v>
      </c>
      <c r="C30" s="8">
        <f t="shared" si="1"/>
        <v>498</v>
      </c>
      <c r="D30" s="7"/>
    </row>
    <row r="31" spans="1:7" x14ac:dyDescent="0.2">
      <c r="A31" s="2">
        <v>28</v>
      </c>
      <c r="B31" s="2" t="s">
        <v>31</v>
      </c>
      <c r="C31" s="8">
        <f t="shared" si="1"/>
        <v>581</v>
      </c>
      <c r="D31" s="7"/>
    </row>
    <row r="32" spans="1:7" x14ac:dyDescent="0.2">
      <c r="A32" s="2">
        <v>29</v>
      </c>
      <c r="B32" s="2" t="s">
        <v>32</v>
      </c>
      <c r="C32" s="8">
        <f t="shared" si="1"/>
        <v>664</v>
      </c>
      <c r="D32" s="7"/>
    </row>
    <row r="33" spans="1:4" x14ac:dyDescent="0.2">
      <c r="A33" s="2">
        <v>30</v>
      </c>
      <c r="B33" s="2" t="s">
        <v>33</v>
      </c>
      <c r="C33" s="8">
        <f t="shared" si="1"/>
        <v>747</v>
      </c>
      <c r="D33" s="7"/>
    </row>
    <row r="34" spans="1:4" x14ac:dyDescent="0.2">
      <c r="A34" s="2">
        <v>31</v>
      </c>
      <c r="B34" s="2" t="s">
        <v>34</v>
      </c>
      <c r="C34" s="8">
        <f t="shared" si="1"/>
        <v>830</v>
      </c>
      <c r="D34" s="7"/>
    </row>
    <row r="35" spans="1:4" x14ac:dyDescent="0.2">
      <c r="A35" s="2">
        <v>32</v>
      </c>
      <c r="B35" s="2" t="s">
        <v>35</v>
      </c>
      <c r="C35" s="8">
        <f t="shared" si="1"/>
        <v>913</v>
      </c>
      <c r="D35" s="7"/>
    </row>
    <row r="36" spans="1:4" x14ac:dyDescent="0.2">
      <c r="A36" s="2">
        <v>33</v>
      </c>
      <c r="B36" s="2" t="s">
        <v>36</v>
      </c>
      <c r="C36" s="8">
        <f t="shared" si="1"/>
        <v>996</v>
      </c>
      <c r="D36" s="7"/>
    </row>
    <row r="37" spans="1:4" x14ac:dyDescent="0.2">
      <c r="A37" s="2">
        <v>34</v>
      </c>
      <c r="B37" s="2" t="s">
        <v>37</v>
      </c>
      <c r="C37" s="8">
        <f t="shared" si="1"/>
        <v>1079</v>
      </c>
      <c r="D37" s="7"/>
    </row>
    <row r="38" spans="1:4" x14ac:dyDescent="0.2">
      <c r="A38" s="2">
        <v>35</v>
      </c>
      <c r="B38" s="2" t="s">
        <v>38</v>
      </c>
      <c r="C38" s="8">
        <f t="shared" si="1"/>
        <v>1162</v>
      </c>
      <c r="D38" s="7"/>
    </row>
    <row r="39" spans="1:4" x14ac:dyDescent="0.2">
      <c r="A39" s="2">
        <v>36</v>
      </c>
      <c r="B39" s="2" t="s">
        <v>39</v>
      </c>
      <c r="C39" s="8">
        <f t="shared" si="1"/>
        <v>1245</v>
      </c>
      <c r="D39" s="7"/>
    </row>
    <row r="40" spans="1:4" x14ac:dyDescent="0.2">
      <c r="A40" s="2">
        <v>37</v>
      </c>
      <c r="B40" s="2" t="s">
        <v>40</v>
      </c>
      <c r="C40" s="8">
        <f t="shared" si="1"/>
        <v>1328</v>
      </c>
      <c r="D40" s="7"/>
    </row>
    <row r="41" spans="1:4" x14ac:dyDescent="0.2">
      <c r="A41" s="2">
        <v>38</v>
      </c>
      <c r="B41" s="2" t="s">
        <v>41</v>
      </c>
      <c r="C41" s="8">
        <f t="shared" si="1"/>
        <v>1411</v>
      </c>
      <c r="D41" s="7"/>
    </row>
    <row r="42" spans="1:4" x14ac:dyDescent="0.2">
      <c r="A42" s="2">
        <v>39</v>
      </c>
      <c r="B42" s="2" t="s">
        <v>42</v>
      </c>
      <c r="C42" s="8">
        <f t="shared" si="1"/>
        <v>1494</v>
      </c>
      <c r="D42" s="7"/>
    </row>
    <row r="43" spans="1:4" x14ac:dyDescent="0.2">
      <c r="A43" s="2">
        <v>40</v>
      </c>
      <c r="B43" s="2" t="s">
        <v>43</v>
      </c>
      <c r="C43" s="8">
        <f t="shared" si="1"/>
        <v>1577</v>
      </c>
      <c r="D43" s="7"/>
    </row>
    <row r="44" spans="1:4" x14ac:dyDescent="0.2">
      <c r="A44" s="2">
        <v>41</v>
      </c>
      <c r="B44" s="2" t="s">
        <v>44</v>
      </c>
      <c r="C44" s="8">
        <f t="shared" si="1"/>
        <v>1660</v>
      </c>
      <c r="D44" s="7"/>
    </row>
    <row r="45" spans="1:4" x14ac:dyDescent="0.2">
      <c r="A45" s="2">
        <v>42</v>
      </c>
      <c r="B45" s="2" t="s">
        <v>45</v>
      </c>
      <c r="C45" s="8">
        <f t="shared" si="1"/>
        <v>1743</v>
      </c>
      <c r="D45" s="7"/>
    </row>
    <row r="46" spans="1:4" x14ac:dyDescent="0.2">
      <c r="A46" s="2">
        <v>43</v>
      </c>
      <c r="B46" s="2" t="s">
        <v>46</v>
      </c>
      <c r="C46" s="6">
        <v>186</v>
      </c>
      <c r="D46" s="7"/>
    </row>
    <row r="47" spans="1:4" x14ac:dyDescent="0.2">
      <c r="A47" s="2">
        <v>44</v>
      </c>
      <c r="B47" s="2" t="s">
        <v>47</v>
      </c>
      <c r="C47" s="6">
        <v>277</v>
      </c>
      <c r="D47" s="7"/>
    </row>
    <row r="48" spans="1:4" x14ac:dyDescent="0.2">
      <c r="A48" s="2">
        <v>45</v>
      </c>
      <c r="B48" s="2" t="s">
        <v>48</v>
      </c>
      <c r="C48" s="6">
        <v>369</v>
      </c>
      <c r="D48" s="7"/>
    </row>
    <row r="49" spans="1:4" x14ac:dyDescent="0.2">
      <c r="A49" s="2">
        <v>46</v>
      </c>
      <c r="B49" s="2" t="s">
        <v>49</v>
      </c>
      <c r="C49" s="6">
        <v>461</v>
      </c>
      <c r="D49" s="7"/>
    </row>
    <row r="50" spans="1:4" x14ac:dyDescent="0.2">
      <c r="A50" s="2">
        <v>47</v>
      </c>
      <c r="B50" s="2" t="s">
        <v>50</v>
      </c>
      <c r="C50" s="6">
        <v>553</v>
      </c>
      <c r="D50" s="7"/>
    </row>
    <row r="51" spans="1:4" x14ac:dyDescent="0.2">
      <c r="A51" s="2">
        <v>48</v>
      </c>
      <c r="B51" s="2" t="s">
        <v>51</v>
      </c>
      <c r="C51" s="6">
        <v>638</v>
      </c>
      <c r="D51" s="7"/>
    </row>
    <row r="52" spans="1:4" x14ac:dyDescent="0.2">
      <c r="A52" s="2">
        <v>49</v>
      </c>
      <c r="B52" s="2" t="s">
        <v>52</v>
      </c>
      <c r="C52" s="6">
        <f>C51+86</f>
        <v>724</v>
      </c>
      <c r="D52" s="7"/>
    </row>
    <row r="53" spans="1:4" x14ac:dyDescent="0.2">
      <c r="A53" s="2">
        <v>50</v>
      </c>
      <c r="B53" s="2" t="s">
        <v>53</v>
      </c>
      <c r="C53" s="6">
        <f t="shared" ref="C53:C65" si="2">C52+86</f>
        <v>810</v>
      </c>
      <c r="D53" s="7"/>
    </row>
    <row r="54" spans="1:4" x14ac:dyDescent="0.2">
      <c r="A54" s="2">
        <v>51</v>
      </c>
      <c r="B54" s="2" t="s">
        <v>54</v>
      </c>
      <c r="C54" s="6">
        <f t="shared" si="2"/>
        <v>896</v>
      </c>
      <c r="D54" s="7"/>
    </row>
    <row r="55" spans="1:4" x14ac:dyDescent="0.2">
      <c r="A55" s="2">
        <v>52</v>
      </c>
      <c r="B55" s="2" t="s">
        <v>55</v>
      </c>
      <c r="C55" s="6">
        <f t="shared" si="2"/>
        <v>982</v>
      </c>
      <c r="D55" s="7"/>
    </row>
    <row r="56" spans="1:4" x14ac:dyDescent="0.2">
      <c r="A56" s="2">
        <v>53</v>
      </c>
      <c r="B56" s="2" t="s">
        <v>56</v>
      </c>
      <c r="C56" s="6">
        <f t="shared" si="2"/>
        <v>1068</v>
      </c>
      <c r="D56" s="7"/>
    </row>
    <row r="57" spans="1:4" x14ac:dyDescent="0.2">
      <c r="A57" s="2">
        <v>54</v>
      </c>
      <c r="B57" s="2" t="s">
        <v>57</v>
      </c>
      <c r="C57" s="6">
        <f t="shared" si="2"/>
        <v>1154</v>
      </c>
      <c r="D57" s="7"/>
    </row>
    <row r="58" spans="1:4" x14ac:dyDescent="0.2">
      <c r="A58" s="2">
        <v>55</v>
      </c>
      <c r="B58" s="2" t="s">
        <v>58</v>
      </c>
      <c r="C58" s="6">
        <f t="shared" si="2"/>
        <v>1240</v>
      </c>
      <c r="D58" s="7"/>
    </row>
    <row r="59" spans="1:4" x14ac:dyDescent="0.2">
      <c r="A59" s="2">
        <v>56</v>
      </c>
      <c r="B59" s="2" t="s">
        <v>59</v>
      </c>
      <c r="C59" s="6">
        <f t="shared" si="2"/>
        <v>1326</v>
      </c>
      <c r="D59" s="7"/>
    </row>
    <row r="60" spans="1:4" x14ac:dyDescent="0.2">
      <c r="A60" s="2">
        <v>57</v>
      </c>
      <c r="B60" s="2" t="s">
        <v>60</v>
      </c>
      <c r="C60" s="6">
        <f t="shared" si="2"/>
        <v>1412</v>
      </c>
      <c r="D60" s="7"/>
    </row>
    <row r="61" spans="1:4" x14ac:dyDescent="0.2">
      <c r="A61" s="2">
        <v>58</v>
      </c>
      <c r="B61" s="2" t="s">
        <v>61</v>
      </c>
      <c r="C61" s="6">
        <f t="shared" si="2"/>
        <v>1498</v>
      </c>
      <c r="D61" s="7"/>
    </row>
    <row r="62" spans="1:4" x14ac:dyDescent="0.2">
      <c r="A62" s="2">
        <v>59</v>
      </c>
      <c r="B62" s="2" t="s">
        <v>62</v>
      </c>
      <c r="C62" s="6">
        <f t="shared" si="2"/>
        <v>1584</v>
      </c>
      <c r="D62" s="7"/>
    </row>
    <row r="63" spans="1:4" x14ac:dyDescent="0.2">
      <c r="A63" s="2">
        <v>60</v>
      </c>
      <c r="B63" s="2" t="s">
        <v>63</v>
      </c>
      <c r="C63" s="6">
        <f t="shared" si="2"/>
        <v>1670</v>
      </c>
      <c r="D63" s="7"/>
    </row>
    <row r="64" spans="1:4" x14ac:dyDescent="0.2">
      <c r="A64" s="2">
        <v>61</v>
      </c>
      <c r="B64" s="2" t="s">
        <v>64</v>
      </c>
      <c r="C64" s="6">
        <f t="shared" si="2"/>
        <v>1756</v>
      </c>
      <c r="D64" s="7"/>
    </row>
    <row r="65" spans="1:4" x14ac:dyDescent="0.2">
      <c r="A65" s="2">
        <v>62</v>
      </c>
      <c r="B65" s="2" t="s">
        <v>65</v>
      </c>
      <c r="C65" s="6">
        <f t="shared" si="2"/>
        <v>1842</v>
      </c>
      <c r="D65" s="7"/>
    </row>
    <row r="66" spans="1:4" x14ac:dyDescent="0.2">
      <c r="A66" s="2">
        <v>63</v>
      </c>
      <c r="B66" s="2" t="s">
        <v>66</v>
      </c>
      <c r="C66" s="8">
        <v>86</v>
      </c>
      <c r="D66" s="7"/>
    </row>
    <row r="67" spans="1:4" x14ac:dyDescent="0.2">
      <c r="A67" s="2">
        <v>64</v>
      </c>
      <c r="B67" s="2" t="s">
        <v>67</v>
      </c>
      <c r="C67" s="8">
        <f>C66+86</f>
        <v>172</v>
      </c>
      <c r="D67" s="7"/>
    </row>
    <row r="68" spans="1:4" x14ac:dyDescent="0.2">
      <c r="A68" s="2">
        <v>65</v>
      </c>
      <c r="B68" s="2" t="s">
        <v>68</v>
      </c>
      <c r="C68" s="8">
        <f t="shared" ref="C68:C86" si="3">C67+86</f>
        <v>258</v>
      </c>
      <c r="D68" s="7"/>
    </row>
    <row r="69" spans="1:4" x14ac:dyDescent="0.2">
      <c r="A69" s="2">
        <v>66</v>
      </c>
      <c r="B69" s="2" t="s">
        <v>69</v>
      </c>
      <c r="C69" s="8">
        <f t="shared" si="3"/>
        <v>344</v>
      </c>
      <c r="D69" s="7"/>
    </row>
    <row r="70" spans="1:4" x14ac:dyDescent="0.2">
      <c r="A70" s="2">
        <v>67</v>
      </c>
      <c r="B70" s="2" t="s">
        <v>70</v>
      </c>
      <c r="C70" s="8">
        <f t="shared" si="3"/>
        <v>430</v>
      </c>
      <c r="D70" s="7"/>
    </row>
    <row r="71" spans="1:4" x14ac:dyDescent="0.2">
      <c r="A71" s="2">
        <v>68</v>
      </c>
      <c r="B71" s="2" t="s">
        <v>71</v>
      </c>
      <c r="C71" s="8">
        <f t="shared" si="3"/>
        <v>516</v>
      </c>
      <c r="D71" s="7"/>
    </row>
    <row r="72" spans="1:4" x14ac:dyDescent="0.2">
      <c r="A72" s="2">
        <v>69</v>
      </c>
      <c r="B72" s="2" t="s">
        <v>72</v>
      </c>
      <c r="C72" s="8">
        <f t="shared" si="3"/>
        <v>602</v>
      </c>
      <c r="D72" s="7"/>
    </row>
    <row r="73" spans="1:4" x14ac:dyDescent="0.2">
      <c r="A73" s="2">
        <v>70</v>
      </c>
      <c r="B73" s="2" t="s">
        <v>73</v>
      </c>
      <c r="C73" s="8">
        <f t="shared" si="3"/>
        <v>688</v>
      </c>
      <c r="D73" s="7"/>
    </row>
    <row r="74" spans="1:4" x14ac:dyDescent="0.2">
      <c r="A74" s="2">
        <v>71</v>
      </c>
      <c r="B74" s="2" t="s">
        <v>74</v>
      </c>
      <c r="C74" s="8">
        <f t="shared" si="3"/>
        <v>774</v>
      </c>
      <c r="D74" s="7"/>
    </row>
    <row r="75" spans="1:4" x14ac:dyDescent="0.2">
      <c r="A75" s="2">
        <v>72</v>
      </c>
      <c r="B75" s="2" t="s">
        <v>75</v>
      </c>
      <c r="C75" s="8">
        <f t="shared" si="3"/>
        <v>860</v>
      </c>
      <c r="D75" s="7"/>
    </row>
    <row r="76" spans="1:4" x14ac:dyDescent="0.2">
      <c r="A76" s="2">
        <v>73</v>
      </c>
      <c r="B76" s="2" t="s">
        <v>76</v>
      </c>
      <c r="C76" s="8">
        <f t="shared" si="3"/>
        <v>946</v>
      </c>
      <c r="D76" s="7"/>
    </row>
    <row r="77" spans="1:4" x14ac:dyDescent="0.2">
      <c r="A77" s="2">
        <v>74</v>
      </c>
      <c r="B77" s="2" t="s">
        <v>77</v>
      </c>
      <c r="C77" s="8">
        <f t="shared" si="3"/>
        <v>1032</v>
      </c>
      <c r="D77" s="7"/>
    </row>
    <row r="78" spans="1:4" x14ac:dyDescent="0.2">
      <c r="A78" s="2">
        <v>75</v>
      </c>
      <c r="B78" s="2" t="s">
        <v>78</v>
      </c>
      <c r="C78" s="8">
        <f t="shared" si="3"/>
        <v>1118</v>
      </c>
      <c r="D78" s="7"/>
    </row>
    <row r="79" spans="1:4" x14ac:dyDescent="0.2">
      <c r="A79" s="2">
        <v>76</v>
      </c>
      <c r="B79" s="2" t="s">
        <v>79</v>
      </c>
      <c r="C79" s="8">
        <f t="shared" si="3"/>
        <v>1204</v>
      </c>
      <c r="D79" s="7"/>
    </row>
    <row r="80" spans="1:4" x14ac:dyDescent="0.2">
      <c r="A80" s="2">
        <v>77</v>
      </c>
      <c r="B80" s="2" t="s">
        <v>80</v>
      </c>
      <c r="C80" s="8">
        <f t="shared" si="3"/>
        <v>1290</v>
      </c>
      <c r="D80" s="7"/>
    </row>
    <row r="81" spans="1:4" x14ac:dyDescent="0.2">
      <c r="A81" s="2">
        <v>78</v>
      </c>
      <c r="B81" s="2" t="s">
        <v>81</v>
      </c>
      <c r="C81" s="8">
        <f t="shared" si="3"/>
        <v>1376</v>
      </c>
      <c r="D81" s="7"/>
    </row>
    <row r="82" spans="1:4" x14ac:dyDescent="0.2">
      <c r="A82" s="2">
        <v>79</v>
      </c>
      <c r="B82" s="2" t="s">
        <v>82</v>
      </c>
      <c r="C82" s="8">
        <f t="shared" si="3"/>
        <v>1462</v>
      </c>
      <c r="D82" s="7"/>
    </row>
    <row r="83" spans="1:4" x14ac:dyDescent="0.2">
      <c r="A83" s="2">
        <v>80</v>
      </c>
      <c r="B83" s="2" t="s">
        <v>83</v>
      </c>
      <c r="C83" s="8">
        <f t="shared" si="3"/>
        <v>1548</v>
      </c>
      <c r="D83" s="7"/>
    </row>
    <row r="84" spans="1:4" x14ac:dyDescent="0.2">
      <c r="A84" s="2">
        <v>81</v>
      </c>
      <c r="B84" s="2" t="s">
        <v>84</v>
      </c>
      <c r="C84" s="8">
        <f t="shared" si="3"/>
        <v>1634</v>
      </c>
      <c r="D84" s="7"/>
    </row>
    <row r="85" spans="1:4" x14ac:dyDescent="0.2">
      <c r="A85" s="2">
        <v>82</v>
      </c>
      <c r="B85" s="2" t="s">
        <v>85</v>
      </c>
      <c r="C85" s="8">
        <f t="shared" si="3"/>
        <v>1720</v>
      </c>
      <c r="D85" s="7"/>
    </row>
    <row r="86" spans="1:4" x14ac:dyDescent="0.2">
      <c r="A86" s="2">
        <v>83</v>
      </c>
      <c r="B86" s="2" t="s">
        <v>86</v>
      </c>
      <c r="C86" s="8">
        <f t="shared" si="3"/>
        <v>1806</v>
      </c>
      <c r="D86" s="7"/>
    </row>
    <row r="87" spans="1:4" x14ac:dyDescent="0.2">
      <c r="A87" s="2">
        <v>84</v>
      </c>
      <c r="B87" s="2" t="s">
        <v>87</v>
      </c>
      <c r="C87" s="6">
        <v>256</v>
      </c>
      <c r="D87" s="7"/>
    </row>
    <row r="88" spans="1:4" x14ac:dyDescent="0.2">
      <c r="A88" s="2">
        <v>85</v>
      </c>
      <c r="B88" s="2" t="s">
        <v>88</v>
      </c>
      <c r="C88" s="6">
        <v>404</v>
      </c>
      <c r="D88" s="7"/>
    </row>
    <row r="89" spans="1:4" x14ac:dyDescent="0.2">
      <c r="A89" s="2">
        <v>86</v>
      </c>
      <c r="B89" s="2" t="s">
        <v>89</v>
      </c>
      <c r="C89" s="6">
        <v>587</v>
      </c>
      <c r="D89" s="7"/>
    </row>
    <row r="90" spans="1:4" x14ac:dyDescent="0.2">
      <c r="A90" s="2">
        <v>87</v>
      </c>
      <c r="B90" s="2" t="s">
        <v>90</v>
      </c>
      <c r="C90" s="6">
        <v>669</v>
      </c>
      <c r="D90" s="7"/>
    </row>
    <row r="91" spans="1:4" x14ac:dyDescent="0.2">
      <c r="A91" s="2">
        <v>88</v>
      </c>
      <c r="B91" s="2" t="s">
        <v>91</v>
      </c>
      <c r="C91" s="6">
        <v>754</v>
      </c>
      <c r="D91" s="7"/>
    </row>
    <row r="92" spans="1:4" x14ac:dyDescent="0.2">
      <c r="A92" s="2">
        <v>89</v>
      </c>
      <c r="B92" s="2" t="s">
        <v>92</v>
      </c>
      <c r="C92" s="6">
        <v>837</v>
      </c>
      <c r="D92" s="7"/>
    </row>
    <row r="93" spans="1:4" x14ac:dyDescent="0.2">
      <c r="A93" s="2">
        <v>90</v>
      </c>
      <c r="B93" s="2" t="s">
        <v>93</v>
      </c>
      <c r="C93" s="6">
        <v>921</v>
      </c>
      <c r="D93" s="7"/>
    </row>
    <row r="94" spans="1:4" x14ac:dyDescent="0.2">
      <c r="A94" s="2">
        <v>91</v>
      </c>
      <c r="B94" s="2" t="s">
        <v>94</v>
      </c>
      <c r="C94" s="6">
        <f>C93+83</f>
        <v>1004</v>
      </c>
      <c r="D94" s="7"/>
    </row>
    <row r="95" spans="1:4" x14ac:dyDescent="0.2">
      <c r="A95" s="2">
        <v>92</v>
      </c>
      <c r="B95" s="2" t="s">
        <v>95</v>
      </c>
      <c r="C95" s="6">
        <f t="shared" ref="C95:C107" si="4">C94+83</f>
        <v>1087</v>
      </c>
      <c r="D95" s="7"/>
    </row>
    <row r="96" spans="1:4" x14ac:dyDescent="0.2">
      <c r="A96" s="2">
        <v>93</v>
      </c>
      <c r="B96" s="2" t="s">
        <v>96</v>
      </c>
      <c r="C96" s="6">
        <f t="shared" si="4"/>
        <v>1170</v>
      </c>
      <c r="D96" s="7"/>
    </row>
    <row r="97" spans="1:4" x14ac:dyDescent="0.2">
      <c r="A97" s="2">
        <v>94</v>
      </c>
      <c r="B97" s="2" t="s">
        <v>97</v>
      </c>
      <c r="C97" s="6">
        <f t="shared" si="4"/>
        <v>1253</v>
      </c>
      <c r="D97" s="7"/>
    </row>
    <row r="98" spans="1:4" x14ac:dyDescent="0.2">
      <c r="A98" s="2">
        <v>95</v>
      </c>
      <c r="B98" s="2" t="s">
        <v>98</v>
      </c>
      <c r="C98" s="6">
        <f t="shared" si="4"/>
        <v>1336</v>
      </c>
      <c r="D98" s="7"/>
    </row>
    <row r="99" spans="1:4" x14ac:dyDescent="0.2">
      <c r="A99" s="2">
        <v>96</v>
      </c>
      <c r="B99" s="2" t="s">
        <v>99</v>
      </c>
      <c r="C99" s="6">
        <f t="shared" si="4"/>
        <v>1419</v>
      </c>
      <c r="D99" s="7"/>
    </row>
    <row r="100" spans="1:4" x14ac:dyDescent="0.2">
      <c r="A100" s="2">
        <v>97</v>
      </c>
      <c r="B100" s="2" t="s">
        <v>100</v>
      </c>
      <c r="C100" s="6">
        <f t="shared" si="4"/>
        <v>1502</v>
      </c>
      <c r="D100" s="7"/>
    </row>
    <row r="101" spans="1:4" x14ac:dyDescent="0.2">
      <c r="A101" s="2">
        <v>98</v>
      </c>
      <c r="B101" s="2" t="s">
        <v>101</v>
      </c>
      <c r="C101" s="6">
        <f t="shared" si="4"/>
        <v>1585</v>
      </c>
      <c r="D101" s="7"/>
    </row>
    <row r="102" spans="1:4" x14ac:dyDescent="0.2">
      <c r="A102" s="2">
        <v>99</v>
      </c>
      <c r="B102" s="2" t="s">
        <v>102</v>
      </c>
      <c r="C102" s="6">
        <f t="shared" si="4"/>
        <v>1668</v>
      </c>
      <c r="D102" s="7"/>
    </row>
    <row r="103" spans="1:4" x14ac:dyDescent="0.2">
      <c r="A103" s="2">
        <v>100</v>
      </c>
      <c r="B103" s="2" t="s">
        <v>103</v>
      </c>
      <c r="C103" s="6">
        <f t="shared" si="4"/>
        <v>1751</v>
      </c>
      <c r="D103" s="7"/>
    </row>
    <row r="104" spans="1:4" x14ac:dyDescent="0.2">
      <c r="A104" s="2">
        <v>101</v>
      </c>
      <c r="B104" s="2" t="s">
        <v>104</v>
      </c>
      <c r="C104" s="6">
        <f t="shared" si="4"/>
        <v>1834</v>
      </c>
      <c r="D104" s="7"/>
    </row>
    <row r="105" spans="1:4" x14ac:dyDescent="0.2">
      <c r="A105" s="2">
        <v>102</v>
      </c>
      <c r="B105" s="2" t="s">
        <v>105</v>
      </c>
      <c r="C105" s="6">
        <f t="shared" si="4"/>
        <v>1917</v>
      </c>
      <c r="D105" s="7"/>
    </row>
    <row r="106" spans="1:4" x14ac:dyDescent="0.2">
      <c r="A106" s="2">
        <v>103</v>
      </c>
      <c r="B106" s="2" t="s">
        <v>106</v>
      </c>
      <c r="C106" s="6">
        <f t="shared" si="4"/>
        <v>2000</v>
      </c>
      <c r="D106" s="7"/>
    </row>
    <row r="107" spans="1:4" x14ac:dyDescent="0.2">
      <c r="A107" s="2">
        <v>104</v>
      </c>
      <c r="B107" s="2" t="s">
        <v>107</v>
      </c>
      <c r="C107" s="6">
        <f t="shared" si="4"/>
        <v>2083</v>
      </c>
      <c r="D107" s="7"/>
    </row>
    <row r="108" spans="1:4" x14ac:dyDescent="0.2">
      <c r="A108" s="2">
        <v>105</v>
      </c>
      <c r="B108" s="2" t="s">
        <v>108</v>
      </c>
      <c r="C108" s="8">
        <v>83</v>
      </c>
      <c r="D108" s="7"/>
    </row>
    <row r="109" spans="1:4" x14ac:dyDescent="0.2">
      <c r="A109" s="2">
        <v>106</v>
      </c>
      <c r="B109" s="2" t="s">
        <v>109</v>
      </c>
      <c r="C109" s="8">
        <f>C108+83</f>
        <v>166</v>
      </c>
      <c r="D109" s="7"/>
    </row>
    <row r="110" spans="1:4" x14ac:dyDescent="0.2">
      <c r="A110" s="2">
        <v>107</v>
      </c>
      <c r="B110" s="2" t="s">
        <v>110</v>
      </c>
      <c r="C110" s="8">
        <f t="shared" ref="C110:C128" si="5">C109+83</f>
        <v>249</v>
      </c>
      <c r="D110" s="7"/>
    </row>
    <row r="111" spans="1:4" x14ac:dyDescent="0.2">
      <c r="A111" s="2">
        <v>108</v>
      </c>
      <c r="B111" s="2" t="s">
        <v>111</v>
      </c>
      <c r="C111" s="8">
        <f t="shared" si="5"/>
        <v>332</v>
      </c>
      <c r="D111" s="7"/>
    </row>
    <row r="112" spans="1:4" x14ac:dyDescent="0.2">
      <c r="A112" s="2">
        <v>109</v>
      </c>
      <c r="B112" s="2" t="s">
        <v>112</v>
      </c>
      <c r="C112" s="8">
        <f t="shared" si="5"/>
        <v>415</v>
      </c>
      <c r="D112" s="7"/>
    </row>
    <row r="113" spans="1:4" x14ac:dyDescent="0.2">
      <c r="A113" s="2">
        <v>110</v>
      </c>
      <c r="B113" s="2" t="s">
        <v>113</v>
      </c>
      <c r="C113" s="8">
        <f t="shared" si="5"/>
        <v>498</v>
      </c>
      <c r="D113" s="7"/>
    </row>
    <row r="114" spans="1:4" x14ac:dyDescent="0.2">
      <c r="A114" s="2">
        <v>111</v>
      </c>
      <c r="B114" s="2" t="s">
        <v>114</v>
      </c>
      <c r="C114" s="8">
        <f t="shared" si="5"/>
        <v>581</v>
      </c>
      <c r="D114" s="7"/>
    </row>
    <row r="115" spans="1:4" x14ac:dyDescent="0.2">
      <c r="A115" s="2">
        <v>112</v>
      </c>
      <c r="B115" s="2" t="s">
        <v>115</v>
      </c>
      <c r="C115" s="8">
        <f t="shared" si="5"/>
        <v>664</v>
      </c>
      <c r="D115" s="7"/>
    </row>
    <row r="116" spans="1:4" x14ac:dyDescent="0.2">
      <c r="A116" s="2">
        <v>113</v>
      </c>
      <c r="B116" s="2" t="s">
        <v>116</v>
      </c>
      <c r="C116" s="8">
        <f t="shared" si="5"/>
        <v>747</v>
      </c>
      <c r="D116" s="7"/>
    </row>
    <row r="117" spans="1:4" x14ac:dyDescent="0.2">
      <c r="A117" s="2">
        <v>114</v>
      </c>
      <c r="B117" s="2" t="s">
        <v>117</v>
      </c>
      <c r="C117" s="8">
        <f t="shared" si="5"/>
        <v>830</v>
      </c>
      <c r="D117" s="7"/>
    </row>
    <row r="118" spans="1:4" x14ac:dyDescent="0.2">
      <c r="A118" s="2">
        <v>115</v>
      </c>
      <c r="B118" s="2" t="s">
        <v>118</v>
      </c>
      <c r="C118" s="8">
        <f t="shared" si="5"/>
        <v>913</v>
      </c>
      <c r="D118" s="7"/>
    </row>
    <row r="119" spans="1:4" x14ac:dyDescent="0.2">
      <c r="A119" s="2">
        <v>116</v>
      </c>
      <c r="B119" s="2" t="s">
        <v>119</v>
      </c>
      <c r="C119" s="8">
        <f t="shared" si="5"/>
        <v>996</v>
      </c>
      <c r="D119" s="7"/>
    </row>
    <row r="120" spans="1:4" x14ac:dyDescent="0.2">
      <c r="A120" s="2">
        <v>117</v>
      </c>
      <c r="B120" s="2" t="s">
        <v>120</v>
      </c>
      <c r="C120" s="8">
        <f t="shared" si="5"/>
        <v>1079</v>
      </c>
      <c r="D120" s="7"/>
    </row>
    <row r="121" spans="1:4" x14ac:dyDescent="0.2">
      <c r="A121" s="2">
        <v>118</v>
      </c>
      <c r="B121" s="2" t="s">
        <v>121</v>
      </c>
      <c r="C121" s="8">
        <f t="shared" si="5"/>
        <v>1162</v>
      </c>
      <c r="D121" s="7"/>
    </row>
    <row r="122" spans="1:4" x14ac:dyDescent="0.2">
      <c r="A122" s="2">
        <v>119</v>
      </c>
      <c r="B122" s="2" t="s">
        <v>122</v>
      </c>
      <c r="C122" s="8">
        <f t="shared" si="5"/>
        <v>1245</v>
      </c>
      <c r="D122" s="7"/>
    </row>
    <row r="123" spans="1:4" x14ac:dyDescent="0.2">
      <c r="A123" s="2">
        <v>120</v>
      </c>
      <c r="B123" s="2" t="s">
        <v>123</v>
      </c>
      <c r="C123" s="8">
        <f t="shared" si="5"/>
        <v>1328</v>
      </c>
      <c r="D123" s="7"/>
    </row>
    <row r="124" spans="1:4" x14ac:dyDescent="0.2">
      <c r="A124" s="2">
        <v>121</v>
      </c>
      <c r="B124" s="2" t="s">
        <v>124</v>
      </c>
      <c r="C124" s="8">
        <f t="shared" si="5"/>
        <v>1411</v>
      </c>
      <c r="D124" s="7"/>
    </row>
    <row r="125" spans="1:4" x14ac:dyDescent="0.2">
      <c r="A125" s="2">
        <v>122</v>
      </c>
      <c r="B125" s="2" t="s">
        <v>125</v>
      </c>
      <c r="C125" s="8">
        <f t="shared" si="5"/>
        <v>1494</v>
      </c>
      <c r="D125" s="7"/>
    </row>
    <row r="126" spans="1:4" x14ac:dyDescent="0.2">
      <c r="A126" s="2">
        <v>123</v>
      </c>
      <c r="B126" s="2" t="s">
        <v>126</v>
      </c>
      <c r="C126" s="8">
        <f t="shared" si="5"/>
        <v>1577</v>
      </c>
      <c r="D126" s="7"/>
    </row>
    <row r="127" spans="1:4" x14ac:dyDescent="0.2">
      <c r="A127" s="2">
        <v>124</v>
      </c>
      <c r="B127" s="2" t="s">
        <v>127</v>
      </c>
      <c r="C127" s="8">
        <f t="shared" si="5"/>
        <v>1660</v>
      </c>
      <c r="D127" s="7"/>
    </row>
    <row r="128" spans="1:4" x14ac:dyDescent="0.2">
      <c r="A128" s="2">
        <v>125</v>
      </c>
      <c r="B128" s="2" t="s">
        <v>128</v>
      </c>
      <c r="C128" s="8">
        <f t="shared" si="5"/>
        <v>1743</v>
      </c>
      <c r="D128" s="7"/>
    </row>
    <row r="129" spans="1:4" x14ac:dyDescent="0.2">
      <c r="A129" s="2">
        <v>126</v>
      </c>
      <c r="B129" s="2" t="s">
        <v>129</v>
      </c>
      <c r="C129" s="6">
        <v>106</v>
      </c>
      <c r="D129" s="7"/>
    </row>
    <row r="130" spans="1:4" x14ac:dyDescent="0.2">
      <c r="A130" s="2">
        <v>127</v>
      </c>
      <c r="B130" s="2" t="s">
        <v>130</v>
      </c>
      <c r="C130" s="6">
        <v>153</v>
      </c>
      <c r="D130" s="7"/>
    </row>
    <row r="131" spans="1:4" x14ac:dyDescent="0.2">
      <c r="A131" s="2">
        <v>128</v>
      </c>
      <c r="B131" s="2" t="s">
        <v>131</v>
      </c>
      <c r="C131" s="6">
        <v>197</v>
      </c>
      <c r="D131" s="7"/>
    </row>
    <row r="132" spans="1:4" x14ac:dyDescent="0.2">
      <c r="A132" s="2">
        <v>129</v>
      </c>
      <c r="B132" s="2" t="s">
        <v>132</v>
      </c>
      <c r="C132" s="6">
        <v>239</v>
      </c>
      <c r="D132" s="7"/>
    </row>
    <row r="133" spans="1:4" x14ac:dyDescent="0.2">
      <c r="A133" s="2">
        <v>130</v>
      </c>
      <c r="B133" s="2" t="s">
        <v>133</v>
      </c>
      <c r="C133" s="6">
        <v>275</v>
      </c>
      <c r="D133" s="7"/>
    </row>
    <row r="134" spans="1:4" x14ac:dyDescent="0.2">
      <c r="A134" s="2">
        <v>131</v>
      </c>
      <c r="B134" s="2" t="s">
        <v>134</v>
      </c>
      <c r="C134" s="6">
        <v>311</v>
      </c>
      <c r="D134" s="7"/>
    </row>
    <row r="135" spans="1:4" x14ac:dyDescent="0.2">
      <c r="A135" s="2">
        <v>132</v>
      </c>
      <c r="B135" s="2" t="s">
        <v>135</v>
      </c>
      <c r="C135" s="6">
        <f>C134+35</f>
        <v>346</v>
      </c>
      <c r="D135" s="7"/>
    </row>
    <row r="136" spans="1:4" x14ac:dyDescent="0.2">
      <c r="A136" s="2">
        <v>133</v>
      </c>
      <c r="B136" s="2" t="s">
        <v>136</v>
      </c>
      <c r="C136" s="6">
        <f t="shared" ref="C136:C169" si="6">C135+35</f>
        <v>381</v>
      </c>
      <c r="D136" s="7"/>
    </row>
    <row r="137" spans="1:4" x14ac:dyDescent="0.2">
      <c r="A137" s="2">
        <v>134</v>
      </c>
      <c r="B137" s="2" t="s">
        <v>137</v>
      </c>
      <c r="C137" s="6">
        <f t="shared" si="6"/>
        <v>416</v>
      </c>
      <c r="D137" s="7"/>
    </row>
    <row r="138" spans="1:4" x14ac:dyDescent="0.2">
      <c r="A138" s="2">
        <v>135</v>
      </c>
      <c r="B138" s="2" t="s">
        <v>138</v>
      </c>
      <c r="C138" s="6">
        <f t="shared" si="6"/>
        <v>451</v>
      </c>
      <c r="D138" s="7"/>
    </row>
    <row r="139" spans="1:4" x14ac:dyDescent="0.2">
      <c r="A139" s="2">
        <v>136</v>
      </c>
      <c r="B139" s="2" t="s">
        <v>139</v>
      </c>
      <c r="C139" s="6">
        <f t="shared" si="6"/>
        <v>486</v>
      </c>
      <c r="D139" s="7"/>
    </row>
    <row r="140" spans="1:4" x14ac:dyDescent="0.2">
      <c r="A140" s="2">
        <v>137</v>
      </c>
      <c r="B140" s="2" t="s">
        <v>140</v>
      </c>
      <c r="C140" s="6">
        <f t="shared" si="6"/>
        <v>521</v>
      </c>
      <c r="D140" s="7"/>
    </row>
    <row r="141" spans="1:4" x14ac:dyDescent="0.2">
      <c r="A141" s="2">
        <v>138</v>
      </c>
      <c r="B141" s="2" t="s">
        <v>141</v>
      </c>
      <c r="C141" s="6">
        <f t="shared" si="6"/>
        <v>556</v>
      </c>
      <c r="D141" s="7"/>
    </row>
    <row r="142" spans="1:4" x14ac:dyDescent="0.2">
      <c r="A142" s="2">
        <v>139</v>
      </c>
      <c r="B142" s="2" t="s">
        <v>142</v>
      </c>
      <c r="C142" s="6">
        <f t="shared" si="6"/>
        <v>591</v>
      </c>
      <c r="D142" s="7"/>
    </row>
    <row r="143" spans="1:4" x14ac:dyDescent="0.2">
      <c r="A143" s="2">
        <v>140</v>
      </c>
      <c r="B143" s="2" t="s">
        <v>143</v>
      </c>
      <c r="C143" s="6">
        <f t="shared" si="6"/>
        <v>626</v>
      </c>
      <c r="D143" s="7"/>
    </row>
    <row r="144" spans="1:4" x14ac:dyDescent="0.2">
      <c r="A144" s="2">
        <v>141</v>
      </c>
      <c r="B144" s="2" t="s">
        <v>144</v>
      </c>
      <c r="C144" s="6">
        <f t="shared" si="6"/>
        <v>661</v>
      </c>
      <c r="D144" s="7"/>
    </row>
    <row r="145" spans="1:4" x14ac:dyDescent="0.2">
      <c r="A145" s="2">
        <v>142</v>
      </c>
      <c r="B145" s="2" t="s">
        <v>145</v>
      </c>
      <c r="C145" s="6">
        <f t="shared" si="6"/>
        <v>696</v>
      </c>
      <c r="D145" s="7"/>
    </row>
    <row r="146" spans="1:4" x14ac:dyDescent="0.2">
      <c r="A146" s="2">
        <v>143</v>
      </c>
      <c r="B146" s="2" t="s">
        <v>146</v>
      </c>
      <c r="C146" s="6">
        <f t="shared" si="6"/>
        <v>731</v>
      </c>
      <c r="D146" s="7"/>
    </row>
    <row r="147" spans="1:4" x14ac:dyDescent="0.2">
      <c r="A147" s="2">
        <v>144</v>
      </c>
      <c r="B147" s="2" t="s">
        <v>147</v>
      </c>
      <c r="C147" s="6">
        <f t="shared" si="6"/>
        <v>766</v>
      </c>
      <c r="D147" s="7"/>
    </row>
    <row r="148" spans="1:4" x14ac:dyDescent="0.2">
      <c r="A148" s="2">
        <v>145</v>
      </c>
      <c r="B148" s="2" t="s">
        <v>148</v>
      </c>
      <c r="C148" s="6">
        <f t="shared" si="6"/>
        <v>801</v>
      </c>
      <c r="D148" s="7"/>
    </row>
    <row r="149" spans="1:4" x14ac:dyDescent="0.2">
      <c r="A149" s="2">
        <v>146</v>
      </c>
      <c r="B149" s="2" t="s">
        <v>149</v>
      </c>
      <c r="C149" s="6">
        <f t="shared" si="6"/>
        <v>836</v>
      </c>
      <c r="D149" s="7"/>
    </row>
    <row r="150" spans="1:4" x14ac:dyDescent="0.2">
      <c r="A150" s="2">
        <v>147</v>
      </c>
      <c r="B150" s="2" t="s">
        <v>150</v>
      </c>
      <c r="C150" s="6">
        <f t="shared" si="6"/>
        <v>871</v>
      </c>
      <c r="D150" s="7"/>
    </row>
    <row r="151" spans="1:4" x14ac:dyDescent="0.2">
      <c r="A151" s="2">
        <v>148</v>
      </c>
      <c r="B151" s="2" t="s">
        <v>151</v>
      </c>
      <c r="C151" s="6">
        <f t="shared" si="6"/>
        <v>906</v>
      </c>
      <c r="D151" s="7"/>
    </row>
    <row r="152" spans="1:4" x14ac:dyDescent="0.2">
      <c r="A152" s="2">
        <v>149</v>
      </c>
      <c r="B152" s="2" t="s">
        <v>152</v>
      </c>
      <c r="C152" s="6">
        <f t="shared" si="6"/>
        <v>941</v>
      </c>
      <c r="D152" s="7"/>
    </row>
    <row r="153" spans="1:4" x14ac:dyDescent="0.2">
      <c r="A153" s="2">
        <v>150</v>
      </c>
      <c r="B153" s="2" t="s">
        <v>153</v>
      </c>
      <c r="C153" s="6">
        <f t="shared" si="6"/>
        <v>976</v>
      </c>
      <c r="D153" s="7"/>
    </row>
    <row r="154" spans="1:4" x14ac:dyDescent="0.2">
      <c r="A154" s="2">
        <v>151</v>
      </c>
      <c r="B154" s="2" t="s">
        <v>154</v>
      </c>
      <c r="C154" s="6">
        <f t="shared" si="6"/>
        <v>1011</v>
      </c>
      <c r="D154" s="7"/>
    </row>
    <row r="155" spans="1:4" x14ac:dyDescent="0.2">
      <c r="A155" s="2">
        <v>152</v>
      </c>
      <c r="B155" s="2" t="s">
        <v>155</v>
      </c>
      <c r="C155" s="6">
        <f t="shared" si="6"/>
        <v>1046</v>
      </c>
      <c r="D155" s="7"/>
    </row>
    <row r="156" spans="1:4" x14ac:dyDescent="0.2">
      <c r="A156" s="2">
        <v>153</v>
      </c>
      <c r="B156" s="2" t="s">
        <v>156</v>
      </c>
      <c r="C156" s="6">
        <f t="shared" si="6"/>
        <v>1081</v>
      </c>
      <c r="D156" s="7"/>
    </row>
    <row r="157" spans="1:4" x14ac:dyDescent="0.2">
      <c r="A157" s="2">
        <v>154</v>
      </c>
      <c r="B157" s="2" t="s">
        <v>157</v>
      </c>
      <c r="C157" s="6">
        <f t="shared" si="6"/>
        <v>1116</v>
      </c>
      <c r="D157" s="7"/>
    </row>
    <row r="158" spans="1:4" x14ac:dyDescent="0.2">
      <c r="A158" s="2">
        <v>155</v>
      </c>
      <c r="B158" s="2" t="s">
        <v>158</v>
      </c>
      <c r="C158" s="6">
        <f t="shared" si="6"/>
        <v>1151</v>
      </c>
      <c r="D158" s="7"/>
    </row>
    <row r="159" spans="1:4" x14ac:dyDescent="0.2">
      <c r="A159" s="2">
        <v>156</v>
      </c>
      <c r="B159" s="2" t="s">
        <v>159</v>
      </c>
      <c r="C159" s="6">
        <f t="shared" si="6"/>
        <v>1186</v>
      </c>
      <c r="D159" s="7"/>
    </row>
    <row r="160" spans="1:4" x14ac:dyDescent="0.2">
      <c r="A160" s="2">
        <v>157</v>
      </c>
      <c r="B160" s="2" t="s">
        <v>160</v>
      </c>
      <c r="C160" s="6">
        <f t="shared" si="6"/>
        <v>1221</v>
      </c>
      <c r="D160" s="7"/>
    </row>
    <row r="161" spans="1:4" x14ac:dyDescent="0.2">
      <c r="A161" s="2">
        <v>158</v>
      </c>
      <c r="B161" s="2" t="s">
        <v>161</v>
      </c>
      <c r="C161" s="6">
        <f t="shared" si="6"/>
        <v>1256</v>
      </c>
      <c r="D161" s="7"/>
    </row>
    <row r="162" spans="1:4" x14ac:dyDescent="0.2">
      <c r="A162" s="2">
        <v>159</v>
      </c>
      <c r="B162" s="2" t="s">
        <v>162</v>
      </c>
      <c r="C162" s="6">
        <f t="shared" si="6"/>
        <v>1291</v>
      </c>
      <c r="D162" s="7"/>
    </row>
    <row r="163" spans="1:4" x14ac:dyDescent="0.2">
      <c r="A163" s="2">
        <v>160</v>
      </c>
      <c r="B163" s="2" t="s">
        <v>163</v>
      </c>
      <c r="C163" s="6">
        <f t="shared" si="6"/>
        <v>1326</v>
      </c>
      <c r="D163" s="7"/>
    </row>
    <row r="164" spans="1:4" x14ac:dyDescent="0.2">
      <c r="A164" s="2">
        <v>161</v>
      </c>
      <c r="B164" s="2" t="s">
        <v>164</v>
      </c>
      <c r="C164" s="6">
        <f t="shared" si="6"/>
        <v>1361</v>
      </c>
      <c r="D164" s="7"/>
    </row>
    <row r="165" spans="1:4" x14ac:dyDescent="0.2">
      <c r="A165" s="2">
        <v>162</v>
      </c>
      <c r="B165" s="2" t="s">
        <v>165</v>
      </c>
      <c r="C165" s="6">
        <f t="shared" si="6"/>
        <v>1396</v>
      </c>
      <c r="D165" s="7"/>
    </row>
    <row r="166" spans="1:4" x14ac:dyDescent="0.2">
      <c r="A166" s="2">
        <v>163</v>
      </c>
      <c r="B166" s="2" t="s">
        <v>166</v>
      </c>
      <c r="C166" s="6">
        <f t="shared" si="6"/>
        <v>1431</v>
      </c>
      <c r="D166" s="7"/>
    </row>
    <row r="167" spans="1:4" x14ac:dyDescent="0.2">
      <c r="A167" s="2">
        <v>164</v>
      </c>
      <c r="B167" s="2" t="s">
        <v>167</v>
      </c>
      <c r="C167" s="6">
        <f t="shared" si="6"/>
        <v>1466</v>
      </c>
      <c r="D167" s="7"/>
    </row>
    <row r="168" spans="1:4" x14ac:dyDescent="0.2">
      <c r="A168" s="2">
        <v>165</v>
      </c>
      <c r="B168" s="2" t="s">
        <v>168</v>
      </c>
      <c r="C168" s="6">
        <f t="shared" si="6"/>
        <v>1501</v>
      </c>
      <c r="D168" s="7"/>
    </row>
    <row r="169" spans="1:4" x14ac:dyDescent="0.2">
      <c r="A169" s="2">
        <v>166</v>
      </c>
      <c r="B169" s="2" t="s">
        <v>169</v>
      </c>
      <c r="C169" s="6">
        <f t="shared" si="6"/>
        <v>1536</v>
      </c>
      <c r="D169" s="7"/>
    </row>
    <row r="170" spans="1:4" x14ac:dyDescent="0.2">
      <c r="A170" s="2">
        <v>167</v>
      </c>
      <c r="B170" s="2" t="s">
        <v>170</v>
      </c>
      <c r="C170" s="8">
        <v>35</v>
      </c>
      <c r="D170" s="7"/>
    </row>
    <row r="171" spans="1:4" x14ac:dyDescent="0.2">
      <c r="A171" s="2">
        <v>168</v>
      </c>
      <c r="B171" s="2" t="s">
        <v>171</v>
      </c>
      <c r="C171" s="8">
        <f>C170+35</f>
        <v>70</v>
      </c>
      <c r="D171" s="7"/>
    </row>
    <row r="172" spans="1:4" x14ac:dyDescent="0.2">
      <c r="A172" s="2">
        <v>169</v>
      </c>
      <c r="B172" s="2" t="s">
        <v>172</v>
      </c>
      <c r="C172" s="8">
        <f t="shared" ref="C172:C211" si="7">C171+35</f>
        <v>105</v>
      </c>
      <c r="D172" s="7"/>
    </row>
    <row r="173" spans="1:4" x14ac:dyDescent="0.2">
      <c r="A173" s="2">
        <v>170</v>
      </c>
      <c r="B173" s="2" t="s">
        <v>173</v>
      </c>
      <c r="C173" s="8">
        <f t="shared" si="7"/>
        <v>140</v>
      </c>
      <c r="D173" s="7"/>
    </row>
    <row r="174" spans="1:4" x14ac:dyDescent="0.2">
      <c r="A174" s="2">
        <v>171</v>
      </c>
      <c r="B174" s="2" t="s">
        <v>174</v>
      </c>
      <c r="C174" s="8">
        <f t="shared" si="7"/>
        <v>175</v>
      </c>
      <c r="D174" s="7"/>
    </row>
    <row r="175" spans="1:4" x14ac:dyDescent="0.2">
      <c r="A175" s="2">
        <v>172</v>
      </c>
      <c r="B175" s="2" t="s">
        <v>175</v>
      </c>
      <c r="C175" s="8">
        <f t="shared" si="7"/>
        <v>210</v>
      </c>
      <c r="D175" s="7"/>
    </row>
    <row r="176" spans="1:4" x14ac:dyDescent="0.2">
      <c r="A176" s="2">
        <v>173</v>
      </c>
      <c r="B176" s="2" t="s">
        <v>176</v>
      </c>
      <c r="C176" s="8">
        <f t="shared" si="7"/>
        <v>245</v>
      </c>
      <c r="D176" s="7"/>
    </row>
    <row r="177" spans="1:4" x14ac:dyDescent="0.2">
      <c r="A177" s="2">
        <v>174</v>
      </c>
      <c r="B177" s="2" t="s">
        <v>177</v>
      </c>
      <c r="C177" s="8">
        <f t="shared" si="7"/>
        <v>280</v>
      </c>
      <c r="D177" s="7"/>
    </row>
    <row r="178" spans="1:4" x14ac:dyDescent="0.2">
      <c r="A178" s="2">
        <v>175</v>
      </c>
      <c r="B178" s="2" t="s">
        <v>178</v>
      </c>
      <c r="C178" s="8">
        <f t="shared" si="7"/>
        <v>315</v>
      </c>
      <c r="D178" s="7"/>
    </row>
    <row r="179" spans="1:4" x14ac:dyDescent="0.2">
      <c r="A179" s="2">
        <v>176</v>
      </c>
      <c r="B179" s="2" t="s">
        <v>179</v>
      </c>
      <c r="C179" s="8">
        <f t="shared" si="7"/>
        <v>350</v>
      </c>
      <c r="D179" s="7"/>
    </row>
    <row r="180" spans="1:4" x14ac:dyDescent="0.2">
      <c r="A180" s="2">
        <v>177</v>
      </c>
      <c r="B180" s="2" t="s">
        <v>180</v>
      </c>
      <c r="C180" s="8">
        <f t="shared" si="7"/>
        <v>385</v>
      </c>
      <c r="D180" s="7"/>
    </row>
    <row r="181" spans="1:4" x14ac:dyDescent="0.2">
      <c r="A181" s="2">
        <v>178</v>
      </c>
      <c r="B181" s="2" t="s">
        <v>181</v>
      </c>
      <c r="C181" s="8">
        <f t="shared" si="7"/>
        <v>420</v>
      </c>
      <c r="D181" s="7"/>
    </row>
    <row r="182" spans="1:4" x14ac:dyDescent="0.2">
      <c r="A182" s="2">
        <v>179</v>
      </c>
      <c r="B182" s="2" t="s">
        <v>182</v>
      </c>
      <c r="C182" s="8">
        <f t="shared" si="7"/>
        <v>455</v>
      </c>
      <c r="D182" s="7"/>
    </row>
    <row r="183" spans="1:4" x14ac:dyDescent="0.2">
      <c r="A183" s="2">
        <v>180</v>
      </c>
      <c r="B183" s="2" t="s">
        <v>183</v>
      </c>
      <c r="C183" s="8">
        <f t="shared" si="7"/>
        <v>490</v>
      </c>
      <c r="D183" s="7"/>
    </row>
    <row r="184" spans="1:4" x14ac:dyDescent="0.2">
      <c r="A184" s="2">
        <v>181</v>
      </c>
      <c r="B184" s="2" t="s">
        <v>184</v>
      </c>
      <c r="C184" s="8">
        <f t="shared" si="7"/>
        <v>525</v>
      </c>
      <c r="D184" s="7"/>
    </row>
    <row r="185" spans="1:4" x14ac:dyDescent="0.2">
      <c r="A185" s="2">
        <v>182</v>
      </c>
      <c r="B185" s="2" t="s">
        <v>185</v>
      </c>
      <c r="C185" s="8">
        <f t="shared" si="7"/>
        <v>560</v>
      </c>
      <c r="D185" s="7"/>
    </row>
    <row r="186" spans="1:4" x14ac:dyDescent="0.2">
      <c r="A186" s="2">
        <v>183</v>
      </c>
      <c r="B186" s="2" t="s">
        <v>186</v>
      </c>
      <c r="C186" s="8">
        <f t="shared" si="7"/>
        <v>595</v>
      </c>
      <c r="D186" s="7"/>
    </row>
    <row r="187" spans="1:4" x14ac:dyDescent="0.2">
      <c r="A187" s="2">
        <v>184</v>
      </c>
      <c r="B187" s="2" t="s">
        <v>187</v>
      </c>
      <c r="C187" s="8">
        <f t="shared" si="7"/>
        <v>630</v>
      </c>
      <c r="D187" s="7"/>
    </row>
    <row r="188" spans="1:4" x14ac:dyDescent="0.2">
      <c r="A188" s="2">
        <v>185</v>
      </c>
      <c r="B188" s="2" t="s">
        <v>188</v>
      </c>
      <c r="C188" s="8">
        <f t="shared" si="7"/>
        <v>665</v>
      </c>
      <c r="D188" s="7"/>
    </row>
    <row r="189" spans="1:4" x14ac:dyDescent="0.2">
      <c r="A189" s="2">
        <v>186</v>
      </c>
      <c r="B189" s="2" t="s">
        <v>189</v>
      </c>
      <c r="C189" s="8">
        <f t="shared" si="7"/>
        <v>700</v>
      </c>
      <c r="D189" s="7"/>
    </row>
    <row r="190" spans="1:4" x14ac:dyDescent="0.2">
      <c r="A190" s="2">
        <v>187</v>
      </c>
      <c r="B190" s="2" t="s">
        <v>190</v>
      </c>
      <c r="C190" s="8">
        <f t="shared" si="7"/>
        <v>735</v>
      </c>
      <c r="D190" s="7"/>
    </row>
    <row r="191" spans="1:4" x14ac:dyDescent="0.2">
      <c r="A191" s="2">
        <v>188</v>
      </c>
      <c r="B191" s="2" t="s">
        <v>191</v>
      </c>
      <c r="C191" s="8">
        <f t="shared" si="7"/>
        <v>770</v>
      </c>
      <c r="D191" s="7"/>
    </row>
    <row r="192" spans="1:4" x14ac:dyDescent="0.2">
      <c r="A192" s="2">
        <v>189</v>
      </c>
      <c r="B192" s="2" t="s">
        <v>192</v>
      </c>
      <c r="C192" s="8">
        <f t="shared" si="7"/>
        <v>805</v>
      </c>
      <c r="D192" s="7"/>
    </row>
    <row r="193" spans="1:4" x14ac:dyDescent="0.2">
      <c r="A193" s="2">
        <v>190</v>
      </c>
      <c r="B193" s="2" t="s">
        <v>193</v>
      </c>
      <c r="C193" s="8">
        <f t="shared" si="7"/>
        <v>840</v>
      </c>
      <c r="D193" s="7"/>
    </row>
    <row r="194" spans="1:4" x14ac:dyDescent="0.2">
      <c r="A194" s="2">
        <v>191</v>
      </c>
      <c r="B194" s="2" t="s">
        <v>194</v>
      </c>
      <c r="C194" s="8">
        <f t="shared" si="7"/>
        <v>875</v>
      </c>
      <c r="D194" s="7"/>
    </row>
    <row r="195" spans="1:4" x14ac:dyDescent="0.2">
      <c r="A195" s="2">
        <v>192</v>
      </c>
      <c r="B195" s="2" t="s">
        <v>195</v>
      </c>
      <c r="C195" s="8">
        <f t="shared" si="7"/>
        <v>910</v>
      </c>
      <c r="D195" s="7"/>
    </row>
    <row r="196" spans="1:4" x14ac:dyDescent="0.2">
      <c r="A196" s="2">
        <v>193</v>
      </c>
      <c r="B196" s="2" t="s">
        <v>196</v>
      </c>
      <c r="C196" s="8">
        <f t="shared" si="7"/>
        <v>945</v>
      </c>
      <c r="D196" s="7"/>
    </row>
    <row r="197" spans="1:4" x14ac:dyDescent="0.2">
      <c r="A197" s="2">
        <v>194</v>
      </c>
      <c r="B197" s="2" t="s">
        <v>197</v>
      </c>
      <c r="C197" s="8">
        <f t="shared" si="7"/>
        <v>980</v>
      </c>
      <c r="D197" s="7"/>
    </row>
    <row r="198" spans="1:4" x14ac:dyDescent="0.2">
      <c r="A198" s="2">
        <v>195</v>
      </c>
      <c r="B198" s="2" t="s">
        <v>198</v>
      </c>
      <c r="C198" s="8">
        <f t="shared" si="7"/>
        <v>1015</v>
      </c>
      <c r="D198" s="7"/>
    </row>
    <row r="199" spans="1:4" x14ac:dyDescent="0.2">
      <c r="A199" s="2">
        <v>196</v>
      </c>
      <c r="B199" s="2" t="s">
        <v>199</v>
      </c>
      <c r="C199" s="8">
        <f t="shared" si="7"/>
        <v>1050</v>
      </c>
      <c r="D199" s="7"/>
    </row>
    <row r="200" spans="1:4" x14ac:dyDescent="0.2">
      <c r="A200" s="2">
        <v>197</v>
      </c>
      <c r="B200" s="2" t="s">
        <v>200</v>
      </c>
      <c r="C200" s="8">
        <f t="shared" si="7"/>
        <v>1085</v>
      </c>
      <c r="D200" s="7"/>
    </row>
    <row r="201" spans="1:4" x14ac:dyDescent="0.2">
      <c r="A201" s="2">
        <v>198</v>
      </c>
      <c r="B201" s="2" t="s">
        <v>201</v>
      </c>
      <c r="C201" s="8">
        <f t="shared" si="7"/>
        <v>1120</v>
      </c>
      <c r="D201" s="7"/>
    </row>
    <row r="202" spans="1:4" x14ac:dyDescent="0.2">
      <c r="A202" s="2">
        <v>199</v>
      </c>
      <c r="B202" s="2" t="s">
        <v>202</v>
      </c>
      <c r="C202" s="8">
        <f t="shared" si="7"/>
        <v>1155</v>
      </c>
      <c r="D202" s="7"/>
    </row>
    <row r="203" spans="1:4" x14ac:dyDescent="0.2">
      <c r="A203" s="2">
        <v>200</v>
      </c>
      <c r="B203" s="2" t="s">
        <v>203</v>
      </c>
      <c r="C203" s="8">
        <f t="shared" si="7"/>
        <v>1190</v>
      </c>
      <c r="D203" s="7"/>
    </row>
    <row r="204" spans="1:4" x14ac:dyDescent="0.2">
      <c r="A204" s="2">
        <v>201</v>
      </c>
      <c r="B204" s="2" t="s">
        <v>204</v>
      </c>
      <c r="C204" s="8">
        <f t="shared" si="7"/>
        <v>1225</v>
      </c>
      <c r="D204" s="7"/>
    </row>
    <row r="205" spans="1:4" x14ac:dyDescent="0.2">
      <c r="A205" s="2">
        <v>202</v>
      </c>
      <c r="B205" s="2" t="s">
        <v>205</v>
      </c>
      <c r="C205" s="8">
        <f t="shared" si="7"/>
        <v>1260</v>
      </c>
      <c r="D205" s="7"/>
    </row>
    <row r="206" spans="1:4" x14ac:dyDescent="0.2">
      <c r="A206" s="2">
        <v>203</v>
      </c>
      <c r="B206" s="2" t="s">
        <v>206</v>
      </c>
      <c r="C206" s="8">
        <f t="shared" si="7"/>
        <v>1295</v>
      </c>
      <c r="D206" s="7"/>
    </row>
    <row r="207" spans="1:4" x14ac:dyDescent="0.2">
      <c r="A207" s="2">
        <v>204</v>
      </c>
      <c r="B207" s="2" t="s">
        <v>207</v>
      </c>
      <c r="C207" s="8">
        <f t="shared" si="7"/>
        <v>1330</v>
      </c>
      <c r="D207" s="7"/>
    </row>
    <row r="208" spans="1:4" x14ac:dyDescent="0.2">
      <c r="A208" s="2">
        <v>205</v>
      </c>
      <c r="B208" s="2" t="s">
        <v>208</v>
      </c>
      <c r="C208" s="8">
        <f t="shared" si="7"/>
        <v>1365</v>
      </c>
      <c r="D208" s="7"/>
    </row>
    <row r="209" spans="1:4" x14ac:dyDescent="0.2">
      <c r="A209" s="2">
        <v>206</v>
      </c>
      <c r="B209" s="2" t="s">
        <v>209</v>
      </c>
      <c r="C209" s="8">
        <f t="shared" si="7"/>
        <v>1400</v>
      </c>
      <c r="D209" s="7"/>
    </row>
    <row r="210" spans="1:4" x14ac:dyDescent="0.2">
      <c r="A210" s="2">
        <v>207</v>
      </c>
      <c r="B210" s="2" t="s">
        <v>210</v>
      </c>
      <c r="C210" s="8">
        <f t="shared" si="7"/>
        <v>1435</v>
      </c>
      <c r="D210" s="7"/>
    </row>
    <row r="211" spans="1:4" x14ac:dyDescent="0.2">
      <c r="A211" s="2">
        <v>208</v>
      </c>
      <c r="B211" s="2" t="s">
        <v>211</v>
      </c>
      <c r="C211" s="8">
        <f t="shared" si="7"/>
        <v>1470</v>
      </c>
      <c r="D211" s="7"/>
    </row>
    <row r="212" spans="1:4" x14ac:dyDescent="0.2">
      <c r="A212" s="2">
        <v>209</v>
      </c>
      <c r="B212" s="2" t="s">
        <v>212</v>
      </c>
      <c r="C212" s="6">
        <v>106</v>
      </c>
      <c r="D212" s="7"/>
    </row>
    <row r="213" spans="1:4" x14ac:dyDescent="0.2">
      <c r="A213" s="2">
        <v>210</v>
      </c>
      <c r="B213" s="2" t="s">
        <v>213</v>
      </c>
      <c r="C213" s="6">
        <v>197</v>
      </c>
      <c r="D213" s="7"/>
    </row>
    <row r="214" spans="1:4" x14ac:dyDescent="0.2">
      <c r="A214" s="2">
        <v>211</v>
      </c>
      <c r="B214" s="2" t="s">
        <v>214</v>
      </c>
      <c r="C214" s="6">
        <v>275</v>
      </c>
      <c r="D214" s="7"/>
    </row>
    <row r="215" spans="1:4" x14ac:dyDescent="0.2">
      <c r="A215" s="2">
        <v>212</v>
      </c>
      <c r="B215" s="2" t="s">
        <v>215</v>
      </c>
      <c r="C215" s="6">
        <v>345</v>
      </c>
      <c r="D215" s="7"/>
    </row>
    <row r="216" spans="1:4" x14ac:dyDescent="0.2">
      <c r="A216" s="2">
        <v>213</v>
      </c>
      <c r="B216" s="2" t="s">
        <v>216</v>
      </c>
      <c r="C216" s="6">
        <f>C215+69</f>
        <v>414</v>
      </c>
      <c r="D216" s="7"/>
    </row>
    <row r="217" spans="1:4" x14ac:dyDescent="0.2">
      <c r="A217" s="2">
        <v>214</v>
      </c>
      <c r="B217" s="2" t="s">
        <v>217</v>
      </c>
      <c r="C217" s="6">
        <f t="shared" ref="C217:C232" si="8">C216+69</f>
        <v>483</v>
      </c>
      <c r="D217" s="7"/>
    </row>
    <row r="218" spans="1:4" x14ac:dyDescent="0.2">
      <c r="A218" s="2">
        <v>215</v>
      </c>
      <c r="B218" s="2" t="s">
        <v>218</v>
      </c>
      <c r="C218" s="6">
        <f t="shared" si="8"/>
        <v>552</v>
      </c>
      <c r="D218" s="7"/>
    </row>
    <row r="219" spans="1:4" x14ac:dyDescent="0.2">
      <c r="A219" s="2">
        <v>216</v>
      </c>
      <c r="B219" s="2" t="s">
        <v>219</v>
      </c>
      <c r="C219" s="6">
        <f t="shared" si="8"/>
        <v>621</v>
      </c>
      <c r="D219" s="7"/>
    </row>
    <row r="220" spans="1:4" x14ac:dyDescent="0.2">
      <c r="A220" s="2">
        <v>217</v>
      </c>
      <c r="B220" s="2" t="s">
        <v>220</v>
      </c>
      <c r="C220" s="6">
        <f t="shared" si="8"/>
        <v>690</v>
      </c>
      <c r="D220" s="7"/>
    </row>
    <row r="221" spans="1:4" x14ac:dyDescent="0.2">
      <c r="A221" s="2">
        <v>218</v>
      </c>
      <c r="B221" s="2" t="s">
        <v>221</v>
      </c>
      <c r="C221" s="6">
        <f t="shared" si="8"/>
        <v>759</v>
      </c>
      <c r="D221" s="7"/>
    </row>
    <row r="222" spans="1:4" x14ac:dyDescent="0.2">
      <c r="A222" s="2">
        <v>219</v>
      </c>
      <c r="B222" s="2" t="s">
        <v>222</v>
      </c>
      <c r="C222" s="6">
        <f t="shared" si="8"/>
        <v>828</v>
      </c>
      <c r="D222" s="7"/>
    </row>
    <row r="223" spans="1:4" x14ac:dyDescent="0.2">
      <c r="A223" s="2">
        <v>220</v>
      </c>
      <c r="B223" s="2" t="s">
        <v>223</v>
      </c>
      <c r="C223" s="6">
        <f t="shared" si="8"/>
        <v>897</v>
      </c>
      <c r="D223" s="7"/>
    </row>
    <row r="224" spans="1:4" x14ac:dyDescent="0.2">
      <c r="A224" s="2">
        <v>221</v>
      </c>
      <c r="B224" s="2" t="s">
        <v>224</v>
      </c>
      <c r="C224" s="6">
        <f t="shared" si="8"/>
        <v>966</v>
      </c>
      <c r="D224" s="7"/>
    </row>
    <row r="225" spans="1:4" x14ac:dyDescent="0.2">
      <c r="A225" s="2">
        <v>222</v>
      </c>
      <c r="B225" s="2" t="s">
        <v>225</v>
      </c>
      <c r="C225" s="6">
        <f t="shared" si="8"/>
        <v>1035</v>
      </c>
      <c r="D225" s="7"/>
    </row>
    <row r="226" spans="1:4" x14ac:dyDescent="0.2">
      <c r="A226" s="2">
        <v>223</v>
      </c>
      <c r="B226" s="2" t="s">
        <v>226</v>
      </c>
      <c r="C226" s="6">
        <f t="shared" si="8"/>
        <v>1104</v>
      </c>
      <c r="D226" s="7"/>
    </row>
    <row r="227" spans="1:4" x14ac:dyDescent="0.2">
      <c r="A227" s="2">
        <v>224</v>
      </c>
      <c r="B227" s="2" t="s">
        <v>227</v>
      </c>
      <c r="C227" s="6">
        <f t="shared" si="8"/>
        <v>1173</v>
      </c>
      <c r="D227" s="7"/>
    </row>
    <row r="228" spans="1:4" x14ac:dyDescent="0.2">
      <c r="A228" s="2">
        <v>225</v>
      </c>
      <c r="B228" s="2" t="s">
        <v>228</v>
      </c>
      <c r="C228" s="6">
        <f t="shared" si="8"/>
        <v>1242</v>
      </c>
      <c r="D228" s="7"/>
    </row>
    <row r="229" spans="1:4" x14ac:dyDescent="0.2">
      <c r="A229" s="2">
        <v>226</v>
      </c>
      <c r="B229" s="2" t="s">
        <v>229</v>
      </c>
      <c r="C229" s="6">
        <f t="shared" si="8"/>
        <v>1311</v>
      </c>
      <c r="D229" s="7"/>
    </row>
    <row r="230" spans="1:4" x14ac:dyDescent="0.2">
      <c r="A230" s="2">
        <v>227</v>
      </c>
      <c r="B230" s="2" t="s">
        <v>230</v>
      </c>
      <c r="C230" s="6">
        <f t="shared" si="8"/>
        <v>1380</v>
      </c>
      <c r="D230" s="7"/>
    </row>
    <row r="231" spans="1:4" x14ac:dyDescent="0.2">
      <c r="A231" s="2">
        <v>228</v>
      </c>
      <c r="B231" s="2" t="s">
        <v>231</v>
      </c>
      <c r="C231" s="6">
        <f t="shared" si="8"/>
        <v>1449</v>
      </c>
      <c r="D231" s="7"/>
    </row>
    <row r="232" spans="1:4" x14ac:dyDescent="0.2">
      <c r="A232" s="2">
        <v>229</v>
      </c>
      <c r="B232" s="2" t="s">
        <v>232</v>
      </c>
      <c r="C232" s="6">
        <f t="shared" si="8"/>
        <v>1518</v>
      </c>
      <c r="D232" s="7"/>
    </row>
    <row r="233" spans="1:4" x14ac:dyDescent="0.2">
      <c r="A233" s="2">
        <v>230</v>
      </c>
      <c r="B233" s="2" t="s">
        <v>233</v>
      </c>
      <c r="C233" s="8">
        <v>69</v>
      </c>
      <c r="D233" s="7"/>
    </row>
    <row r="234" spans="1:4" x14ac:dyDescent="0.2">
      <c r="A234" s="2">
        <v>231</v>
      </c>
      <c r="B234" s="2" t="s">
        <v>234</v>
      </c>
      <c r="C234" s="8">
        <f>C233+69</f>
        <v>138</v>
      </c>
      <c r="D234" s="7"/>
    </row>
    <row r="235" spans="1:4" x14ac:dyDescent="0.2">
      <c r="A235" s="2">
        <v>232</v>
      </c>
      <c r="B235" s="2" t="s">
        <v>235</v>
      </c>
      <c r="C235" s="8">
        <f t="shared" ref="C235:C253" si="9">C234+69</f>
        <v>207</v>
      </c>
      <c r="D235" s="7"/>
    </row>
    <row r="236" spans="1:4" x14ac:dyDescent="0.2">
      <c r="A236" s="2">
        <v>233</v>
      </c>
      <c r="B236" s="2" t="s">
        <v>236</v>
      </c>
      <c r="C236" s="8">
        <f t="shared" si="9"/>
        <v>276</v>
      </c>
      <c r="D236" s="7"/>
    </row>
    <row r="237" spans="1:4" x14ac:dyDescent="0.2">
      <c r="A237" s="2">
        <v>234</v>
      </c>
      <c r="B237" s="2" t="s">
        <v>237</v>
      </c>
      <c r="C237" s="8">
        <f t="shared" si="9"/>
        <v>345</v>
      </c>
      <c r="D237" s="7"/>
    </row>
    <row r="238" spans="1:4" x14ac:dyDescent="0.2">
      <c r="A238" s="2">
        <v>235</v>
      </c>
      <c r="B238" s="2" t="s">
        <v>238</v>
      </c>
      <c r="C238" s="8">
        <f t="shared" si="9"/>
        <v>414</v>
      </c>
      <c r="D238" s="7"/>
    </row>
    <row r="239" spans="1:4" x14ac:dyDescent="0.2">
      <c r="A239" s="2">
        <v>236</v>
      </c>
      <c r="B239" s="2" t="s">
        <v>239</v>
      </c>
      <c r="C239" s="8">
        <f t="shared" si="9"/>
        <v>483</v>
      </c>
      <c r="D239" s="7"/>
    </row>
    <row r="240" spans="1:4" x14ac:dyDescent="0.2">
      <c r="A240" s="2">
        <v>237</v>
      </c>
      <c r="B240" s="2" t="s">
        <v>240</v>
      </c>
      <c r="C240" s="8">
        <f t="shared" si="9"/>
        <v>552</v>
      </c>
      <c r="D240" s="7"/>
    </row>
    <row r="241" spans="1:5" x14ac:dyDescent="0.2">
      <c r="A241" s="2">
        <v>238</v>
      </c>
      <c r="B241" s="2" t="s">
        <v>241</v>
      </c>
      <c r="C241" s="8">
        <f t="shared" si="9"/>
        <v>621</v>
      </c>
      <c r="D241" s="7"/>
    </row>
    <row r="242" spans="1:5" x14ac:dyDescent="0.2">
      <c r="A242" s="2">
        <v>239</v>
      </c>
      <c r="B242" s="2" t="s">
        <v>242</v>
      </c>
      <c r="C242" s="8">
        <f t="shared" si="9"/>
        <v>690</v>
      </c>
      <c r="D242" s="7"/>
    </row>
    <row r="243" spans="1:5" x14ac:dyDescent="0.2">
      <c r="A243" s="2">
        <v>240</v>
      </c>
      <c r="B243" s="2" t="s">
        <v>243</v>
      </c>
      <c r="C243" s="8">
        <f t="shared" si="9"/>
        <v>759</v>
      </c>
      <c r="D243" s="7"/>
    </row>
    <row r="244" spans="1:5" x14ac:dyDescent="0.2">
      <c r="A244" s="2">
        <v>241</v>
      </c>
      <c r="B244" s="2" t="s">
        <v>244</v>
      </c>
      <c r="C244" s="8">
        <f t="shared" si="9"/>
        <v>828</v>
      </c>
      <c r="D244" s="7"/>
    </row>
    <row r="245" spans="1:5" x14ac:dyDescent="0.2">
      <c r="A245" s="2">
        <v>242</v>
      </c>
      <c r="B245" s="2" t="s">
        <v>245</v>
      </c>
      <c r="C245" s="8">
        <f t="shared" si="9"/>
        <v>897</v>
      </c>
      <c r="D245" s="7"/>
    </row>
    <row r="246" spans="1:5" x14ac:dyDescent="0.2">
      <c r="A246" s="2">
        <v>243</v>
      </c>
      <c r="B246" s="2" t="s">
        <v>246</v>
      </c>
      <c r="C246" s="8">
        <f t="shared" si="9"/>
        <v>966</v>
      </c>
      <c r="D246" s="7"/>
    </row>
    <row r="247" spans="1:5" x14ac:dyDescent="0.2">
      <c r="A247" s="2">
        <v>244</v>
      </c>
      <c r="B247" s="2" t="s">
        <v>247</v>
      </c>
      <c r="C247" s="8">
        <f t="shared" si="9"/>
        <v>1035</v>
      </c>
      <c r="D247" s="7"/>
    </row>
    <row r="248" spans="1:5" x14ac:dyDescent="0.2">
      <c r="A248" s="2">
        <v>245</v>
      </c>
      <c r="B248" s="2" t="s">
        <v>248</v>
      </c>
      <c r="C248" s="8">
        <f t="shared" si="9"/>
        <v>1104</v>
      </c>
      <c r="D248" s="7"/>
    </row>
    <row r="249" spans="1:5" x14ac:dyDescent="0.2">
      <c r="A249" s="2">
        <v>246</v>
      </c>
      <c r="B249" s="2" t="s">
        <v>249</v>
      </c>
      <c r="C249" s="8">
        <f t="shared" si="9"/>
        <v>1173</v>
      </c>
      <c r="D249" s="7"/>
    </row>
    <row r="250" spans="1:5" x14ac:dyDescent="0.2">
      <c r="A250" s="2">
        <v>247</v>
      </c>
      <c r="B250" s="2" t="s">
        <v>250</v>
      </c>
      <c r="C250" s="8">
        <f t="shared" si="9"/>
        <v>1242</v>
      </c>
      <c r="D250" s="7"/>
    </row>
    <row r="251" spans="1:5" x14ac:dyDescent="0.2">
      <c r="A251" s="2">
        <v>248</v>
      </c>
      <c r="B251" s="2" t="s">
        <v>251</v>
      </c>
      <c r="C251" s="8">
        <f t="shared" si="9"/>
        <v>1311</v>
      </c>
      <c r="D251" s="7"/>
    </row>
    <row r="252" spans="1:5" x14ac:dyDescent="0.2">
      <c r="A252" s="2">
        <v>249</v>
      </c>
      <c r="B252" s="2" t="s">
        <v>252</v>
      </c>
      <c r="C252" s="8">
        <f t="shared" si="9"/>
        <v>1380</v>
      </c>
      <c r="D252" s="7"/>
    </row>
    <row r="253" spans="1:5" x14ac:dyDescent="0.2">
      <c r="A253" s="2">
        <v>250</v>
      </c>
      <c r="B253" s="2" t="s">
        <v>253</v>
      </c>
      <c r="C253" s="8">
        <f t="shared" si="9"/>
        <v>1449</v>
      </c>
      <c r="D253" s="7"/>
    </row>
    <row r="254" spans="1:5" x14ac:dyDescent="0.2">
      <c r="A254" s="2">
        <v>251</v>
      </c>
      <c r="B254" s="2" t="s">
        <v>254</v>
      </c>
      <c r="C254" s="9">
        <f>_11_A身体１．０-_11_A身体０．５</f>
        <v>148</v>
      </c>
      <c r="D254" s="7"/>
      <c r="E254" s="10"/>
    </row>
    <row r="255" spans="1:5" x14ac:dyDescent="0.2">
      <c r="A255" s="2">
        <v>252</v>
      </c>
      <c r="B255" s="2" t="s">
        <v>255</v>
      </c>
      <c r="C255" s="9">
        <f>_11_A身体１．５-_11_A身体０．５</f>
        <v>331</v>
      </c>
      <c r="D255" s="7"/>
    </row>
    <row r="256" spans="1:5" x14ac:dyDescent="0.2">
      <c r="A256" s="2">
        <v>253</v>
      </c>
      <c r="B256" s="2" t="s">
        <v>256</v>
      </c>
      <c r="C256" s="9">
        <f>_11_A身体２．０-_11_A身体０．５</f>
        <v>413</v>
      </c>
      <c r="D256" s="7"/>
    </row>
    <row r="257" spans="1:4" x14ac:dyDescent="0.2">
      <c r="A257" s="2">
        <v>254</v>
      </c>
      <c r="B257" s="2" t="s">
        <v>257</v>
      </c>
      <c r="C257" s="9">
        <f>_11_A身体２．５-_11_A身体０．５</f>
        <v>498</v>
      </c>
      <c r="D257" s="7"/>
    </row>
    <row r="258" spans="1:4" x14ac:dyDescent="0.2">
      <c r="A258" s="2">
        <v>255</v>
      </c>
      <c r="B258" s="2" t="s">
        <v>258</v>
      </c>
      <c r="C258" s="9">
        <f>_11_A身体３．０-_11_A身体０．５</f>
        <v>581</v>
      </c>
      <c r="D258" s="7"/>
    </row>
    <row r="259" spans="1:4" x14ac:dyDescent="0.2">
      <c r="A259" s="2">
        <v>256</v>
      </c>
      <c r="B259" s="2" t="s">
        <v>259</v>
      </c>
      <c r="C259" s="9">
        <f>_11_A身体１．５-_11_A身体１．０</f>
        <v>183</v>
      </c>
      <c r="D259" s="7"/>
    </row>
    <row r="260" spans="1:4" x14ac:dyDescent="0.2">
      <c r="A260" s="2">
        <v>257</v>
      </c>
      <c r="B260" s="2" t="s">
        <v>260</v>
      </c>
      <c r="C260" s="9">
        <f>_11_A身体２．０-_11_A身体１．０</f>
        <v>265</v>
      </c>
      <c r="D260" s="7"/>
    </row>
    <row r="261" spans="1:4" x14ac:dyDescent="0.2">
      <c r="A261" s="2">
        <v>258</v>
      </c>
      <c r="B261" s="2" t="s">
        <v>261</v>
      </c>
      <c r="C261" s="9">
        <f>_11_A身体２．５-_11_A身体１．０</f>
        <v>350</v>
      </c>
      <c r="D261" s="7"/>
    </row>
    <row r="262" spans="1:4" x14ac:dyDescent="0.2">
      <c r="A262" s="2">
        <v>259</v>
      </c>
      <c r="B262" s="2" t="s">
        <v>262</v>
      </c>
      <c r="C262" s="9">
        <f>_11_A身体３．０-_11_A身体１．０</f>
        <v>433</v>
      </c>
      <c r="D262" s="7"/>
    </row>
    <row r="263" spans="1:4" x14ac:dyDescent="0.2">
      <c r="A263" s="2">
        <v>260</v>
      </c>
      <c r="B263" s="2" t="s">
        <v>263</v>
      </c>
      <c r="C263" s="9">
        <f>_11_A身体２．０-_11_A身体１．５</f>
        <v>82</v>
      </c>
      <c r="D263" s="7"/>
    </row>
    <row r="264" spans="1:4" x14ac:dyDescent="0.2">
      <c r="A264" s="2">
        <v>261</v>
      </c>
      <c r="B264" s="2" t="s">
        <v>264</v>
      </c>
      <c r="C264" s="9">
        <f>_11_A身体２．５-_11_A身体１．５</f>
        <v>167</v>
      </c>
      <c r="D264" s="7"/>
    </row>
    <row r="265" spans="1:4" x14ac:dyDescent="0.2">
      <c r="A265" s="2">
        <v>262</v>
      </c>
      <c r="B265" s="2" t="s">
        <v>265</v>
      </c>
      <c r="C265" s="9">
        <f>_11_A身体３．０-_11_A身体１．５</f>
        <v>250</v>
      </c>
      <c r="D265" s="7"/>
    </row>
    <row r="266" spans="1:4" x14ac:dyDescent="0.2">
      <c r="A266" s="2">
        <v>263</v>
      </c>
      <c r="B266" s="2" t="s">
        <v>266</v>
      </c>
      <c r="C266" s="9">
        <f>_11_A身体２．５-_11_A身体２．０</f>
        <v>85</v>
      </c>
      <c r="D266" s="7"/>
    </row>
    <row r="267" spans="1:4" x14ac:dyDescent="0.2">
      <c r="A267" s="2">
        <v>264</v>
      </c>
      <c r="B267" s="2" t="s">
        <v>267</v>
      </c>
      <c r="C267" s="9">
        <f>_11_A身体３．０-_11_A身体２．０</f>
        <v>168</v>
      </c>
      <c r="D267" s="7"/>
    </row>
    <row r="268" spans="1:4" x14ac:dyDescent="0.2">
      <c r="A268" s="2">
        <v>265</v>
      </c>
      <c r="B268" s="2" t="s">
        <v>268</v>
      </c>
      <c r="C268" s="9">
        <f>_11_A身体３．０-_11_A身体２．５</f>
        <v>83</v>
      </c>
      <c r="D268" s="7"/>
    </row>
    <row r="269" spans="1:4" x14ac:dyDescent="0.2">
      <c r="A269" s="2">
        <v>266</v>
      </c>
      <c r="B269" s="2" t="s">
        <v>269</v>
      </c>
      <c r="C269" s="9">
        <f>_11_A通院１１．０-_11_A通院１０．５</f>
        <v>148</v>
      </c>
      <c r="D269" s="7"/>
    </row>
    <row r="270" spans="1:4" x14ac:dyDescent="0.2">
      <c r="A270" s="2">
        <v>267</v>
      </c>
      <c r="B270" s="2" t="s">
        <v>270</v>
      </c>
      <c r="C270" s="9">
        <f>_11_A通院１１．５-_11_A通院１０．５</f>
        <v>331</v>
      </c>
      <c r="D270" s="7"/>
    </row>
    <row r="271" spans="1:4" x14ac:dyDescent="0.2">
      <c r="A271" s="2">
        <v>268</v>
      </c>
      <c r="B271" s="2" t="s">
        <v>271</v>
      </c>
      <c r="C271" s="9">
        <f>_11_A通院１２．０-_11_A通院１０．５</f>
        <v>413</v>
      </c>
      <c r="D271" s="7"/>
    </row>
    <row r="272" spans="1:4" x14ac:dyDescent="0.2">
      <c r="A272" s="2">
        <v>269</v>
      </c>
      <c r="B272" s="2" t="s">
        <v>272</v>
      </c>
      <c r="C272" s="9">
        <f>_11_A通院１２．５-_11_A通院１０．５</f>
        <v>498</v>
      </c>
      <c r="D272" s="7"/>
    </row>
    <row r="273" spans="1:4" x14ac:dyDescent="0.2">
      <c r="A273" s="2">
        <v>270</v>
      </c>
      <c r="B273" s="2" t="s">
        <v>273</v>
      </c>
      <c r="C273" s="9">
        <f>_11_A通院１３．０-_11_A通院１０．５</f>
        <v>581</v>
      </c>
      <c r="D273" s="7"/>
    </row>
    <row r="274" spans="1:4" x14ac:dyDescent="0.2">
      <c r="A274" s="2">
        <v>271</v>
      </c>
      <c r="B274" s="2" t="s">
        <v>274</v>
      </c>
      <c r="C274" s="9">
        <f>_11_A通院１１．５-_11_A通院１１．０</f>
        <v>183</v>
      </c>
      <c r="D274" s="7"/>
    </row>
    <row r="275" spans="1:4" x14ac:dyDescent="0.2">
      <c r="A275" s="2">
        <v>272</v>
      </c>
      <c r="B275" s="2" t="s">
        <v>275</v>
      </c>
      <c r="C275" s="9">
        <f>_11_A通院１２．０-_11_A通院１１．０</f>
        <v>265</v>
      </c>
      <c r="D275" s="7"/>
    </row>
    <row r="276" spans="1:4" x14ac:dyDescent="0.2">
      <c r="A276" s="2">
        <v>273</v>
      </c>
      <c r="B276" s="2" t="s">
        <v>276</v>
      </c>
      <c r="C276" s="9">
        <f>_11_A通院１２．５-_11_A通院１１．０</f>
        <v>350</v>
      </c>
      <c r="D276" s="7"/>
    </row>
    <row r="277" spans="1:4" x14ac:dyDescent="0.2">
      <c r="A277" s="2">
        <v>274</v>
      </c>
      <c r="B277" s="2" t="s">
        <v>277</v>
      </c>
      <c r="C277" s="9">
        <f>_11_A通院１３．０-_11_A通院１１．０</f>
        <v>433</v>
      </c>
      <c r="D277" s="7"/>
    </row>
    <row r="278" spans="1:4" x14ac:dyDescent="0.2">
      <c r="A278" s="2">
        <v>275</v>
      </c>
      <c r="B278" s="2" t="s">
        <v>278</v>
      </c>
      <c r="C278" s="9">
        <f>_11_A通院１２．０-_11_A通院１１．５</f>
        <v>82</v>
      </c>
      <c r="D278" s="7"/>
    </row>
    <row r="279" spans="1:4" x14ac:dyDescent="0.2">
      <c r="A279" s="2">
        <v>276</v>
      </c>
      <c r="B279" s="2" t="s">
        <v>279</v>
      </c>
      <c r="C279" s="9">
        <f>_11_A通院１２．５-_11_A通院１１．５</f>
        <v>167</v>
      </c>
      <c r="D279" s="7"/>
    </row>
    <row r="280" spans="1:4" x14ac:dyDescent="0.2">
      <c r="A280" s="2">
        <v>277</v>
      </c>
      <c r="B280" s="2" t="s">
        <v>280</v>
      </c>
      <c r="C280" s="9">
        <f>_11_A通院１３．０-_11_A通院１１．５</f>
        <v>250</v>
      </c>
      <c r="D280" s="7"/>
    </row>
    <row r="281" spans="1:4" x14ac:dyDescent="0.2">
      <c r="A281" s="2">
        <v>278</v>
      </c>
      <c r="B281" s="2" t="s">
        <v>281</v>
      </c>
      <c r="C281" s="9">
        <f>_11_A通院１２．５-_11_A通院１２．０</f>
        <v>85</v>
      </c>
      <c r="D281" s="7"/>
    </row>
    <row r="282" spans="1:4" x14ac:dyDescent="0.2">
      <c r="A282" s="2">
        <v>279</v>
      </c>
      <c r="B282" s="2" t="s">
        <v>282</v>
      </c>
      <c r="C282" s="9">
        <f>_11_A通院１３．０-_11_A通院１２．０</f>
        <v>168</v>
      </c>
      <c r="D282" s="7"/>
    </row>
    <row r="283" spans="1:4" x14ac:dyDescent="0.2">
      <c r="A283" s="2">
        <v>280</v>
      </c>
      <c r="B283" s="2" t="s">
        <v>283</v>
      </c>
      <c r="C283" s="9">
        <f>_11_A通院１３．０-_11_A通院１２．５</f>
        <v>83</v>
      </c>
      <c r="D283" s="7"/>
    </row>
    <row r="284" spans="1:4" x14ac:dyDescent="0.2">
      <c r="A284" s="2">
        <v>281</v>
      </c>
      <c r="B284" s="2" t="s">
        <v>284</v>
      </c>
      <c r="C284" s="9">
        <f>_11_A重度研修１．５-_11_A重度研修１．０</f>
        <v>91</v>
      </c>
      <c r="D284" s="7"/>
    </row>
    <row r="285" spans="1:4" x14ac:dyDescent="0.2">
      <c r="A285" s="2">
        <v>282</v>
      </c>
      <c r="B285" s="2" t="s">
        <v>285</v>
      </c>
      <c r="C285" s="9">
        <f>_11_A重度研修２．０-_11_A重度研修１．０</f>
        <v>183</v>
      </c>
      <c r="D285" s="7"/>
    </row>
    <row r="286" spans="1:4" x14ac:dyDescent="0.2">
      <c r="A286" s="2">
        <v>283</v>
      </c>
      <c r="B286" s="2" t="s">
        <v>286</v>
      </c>
      <c r="C286" s="9">
        <f>_11_A重度研修２．５-_11_A重度研修１．０</f>
        <v>275</v>
      </c>
      <c r="D286" s="7"/>
    </row>
    <row r="287" spans="1:4" x14ac:dyDescent="0.2">
      <c r="A287" s="2">
        <v>284</v>
      </c>
      <c r="B287" s="2" t="s">
        <v>287</v>
      </c>
      <c r="C287" s="9">
        <f>_11_A重度研修３．０-_11_A重度研修１．０</f>
        <v>367</v>
      </c>
      <c r="D287" s="7"/>
    </row>
    <row r="288" spans="1:4" x14ac:dyDescent="0.2">
      <c r="A288" s="2">
        <v>285</v>
      </c>
      <c r="B288" s="2" t="s">
        <v>288</v>
      </c>
      <c r="C288" s="9">
        <f>_11_A重度研修２．０-_11_A重度研修１．５</f>
        <v>92</v>
      </c>
      <c r="D288" s="7"/>
    </row>
    <row r="289" spans="1:4" x14ac:dyDescent="0.2">
      <c r="A289" s="2">
        <v>286</v>
      </c>
      <c r="B289" s="2" t="s">
        <v>289</v>
      </c>
      <c r="C289" s="9">
        <f>_11_A重度研修２．５-_11_A重度研修１．５</f>
        <v>184</v>
      </c>
      <c r="D289" s="7"/>
    </row>
    <row r="290" spans="1:4" x14ac:dyDescent="0.2">
      <c r="A290" s="2">
        <v>287</v>
      </c>
      <c r="B290" s="2" t="s">
        <v>290</v>
      </c>
      <c r="C290" s="9">
        <f>_11_A重度研修３．０-_11_A重度研修１．５</f>
        <v>276</v>
      </c>
      <c r="D290" s="7"/>
    </row>
    <row r="291" spans="1:4" x14ac:dyDescent="0.2">
      <c r="A291" s="2">
        <v>288</v>
      </c>
      <c r="B291" s="2" t="s">
        <v>291</v>
      </c>
      <c r="C291" s="9">
        <f>_11_A重度研修２．５-_11_A重度研修２．０</f>
        <v>92</v>
      </c>
      <c r="D291" s="7"/>
    </row>
    <row r="292" spans="1:4" x14ac:dyDescent="0.2">
      <c r="A292" s="2">
        <v>289</v>
      </c>
      <c r="B292" s="2" t="s">
        <v>292</v>
      </c>
      <c r="C292" s="9">
        <f>_11_A重度研修３．０-_11_A重度研修２．０</f>
        <v>184</v>
      </c>
      <c r="D292" s="7"/>
    </row>
    <row r="293" spans="1:4" x14ac:dyDescent="0.2">
      <c r="A293" s="2">
        <v>290</v>
      </c>
      <c r="B293" s="2" t="s">
        <v>293</v>
      </c>
      <c r="C293" s="11">
        <f>_11_A重度研修３．０-_11_A重度研修２．５</f>
        <v>92</v>
      </c>
      <c r="D293" s="7"/>
    </row>
    <row r="294" spans="1:4" x14ac:dyDescent="0.2">
      <c r="A294" s="2">
        <v>291</v>
      </c>
      <c r="B294" s="2" t="s">
        <v>294</v>
      </c>
      <c r="C294" s="11">
        <f>_11_A家事０．７５-_11_A家事０．５</f>
        <v>47</v>
      </c>
      <c r="D294" s="7"/>
    </row>
    <row r="295" spans="1:4" x14ac:dyDescent="0.2">
      <c r="A295" s="2">
        <v>292</v>
      </c>
      <c r="B295" s="2" t="s">
        <v>295</v>
      </c>
      <c r="C295" s="11">
        <f>_11_A家事１．０-_11_A家事０．５</f>
        <v>91</v>
      </c>
      <c r="D295" s="7"/>
    </row>
    <row r="296" spans="1:4" x14ac:dyDescent="0.2">
      <c r="A296" s="2">
        <v>293</v>
      </c>
      <c r="B296" s="2" t="s">
        <v>296</v>
      </c>
      <c r="C296" s="11">
        <f>_11_A家事１．２５-_11_A家事０．５</f>
        <v>133</v>
      </c>
      <c r="D296" s="7"/>
    </row>
    <row r="297" spans="1:4" x14ac:dyDescent="0.2">
      <c r="A297" s="2">
        <v>294</v>
      </c>
      <c r="B297" s="2" t="s">
        <v>297</v>
      </c>
      <c r="C297" s="11">
        <f>_11_A家事１．５-_11_A家事０．５</f>
        <v>169</v>
      </c>
      <c r="D297" s="7"/>
    </row>
    <row r="298" spans="1:4" x14ac:dyDescent="0.2">
      <c r="A298" s="2">
        <v>295</v>
      </c>
      <c r="B298" s="2" t="s">
        <v>298</v>
      </c>
      <c r="C298" s="11">
        <f>_11_A家事１．０-_11_A家事０．７５</f>
        <v>44</v>
      </c>
      <c r="D298" s="7"/>
    </row>
    <row r="299" spans="1:4" x14ac:dyDescent="0.2">
      <c r="A299" s="2">
        <v>296</v>
      </c>
      <c r="B299" s="2" t="s">
        <v>299</v>
      </c>
      <c r="C299" s="11">
        <f>_11_A家事１．２５-_11_A家事０．７５</f>
        <v>86</v>
      </c>
      <c r="D299" s="7"/>
    </row>
    <row r="300" spans="1:4" x14ac:dyDescent="0.2">
      <c r="A300" s="2">
        <v>297</v>
      </c>
      <c r="B300" s="2" t="s">
        <v>300</v>
      </c>
      <c r="C300" s="11">
        <f>_11_A家事１．５-_11_A家事０．７５</f>
        <v>122</v>
      </c>
      <c r="D300" s="7"/>
    </row>
    <row r="301" spans="1:4" x14ac:dyDescent="0.2">
      <c r="A301" s="2">
        <v>298</v>
      </c>
      <c r="B301" s="2" t="s">
        <v>301</v>
      </c>
      <c r="C301" s="11">
        <f>_11_A家事１．２５-_11_A家事１．０</f>
        <v>42</v>
      </c>
      <c r="D301" s="7"/>
    </row>
    <row r="302" spans="1:4" x14ac:dyDescent="0.2">
      <c r="A302" s="2">
        <v>299</v>
      </c>
      <c r="B302" s="2" t="s">
        <v>302</v>
      </c>
      <c r="C302" s="11">
        <f>_11_A家事１．５-_11_A家事１．０</f>
        <v>78</v>
      </c>
      <c r="D302" s="7"/>
    </row>
    <row r="303" spans="1:4" x14ac:dyDescent="0.2">
      <c r="A303" s="2">
        <v>300</v>
      </c>
      <c r="B303" s="2" t="s">
        <v>303</v>
      </c>
      <c r="C303" s="11">
        <f>_11_A家事１．５-_11_A家事１．２５</f>
        <v>36</v>
      </c>
      <c r="D303" s="7"/>
    </row>
    <row r="304" spans="1:4" x14ac:dyDescent="0.2">
      <c r="A304" s="2">
        <v>301</v>
      </c>
      <c r="B304" s="2" t="s">
        <v>304</v>
      </c>
      <c r="C304" s="11">
        <f>_11_A通院２１．０-_11_A通院２０．５</f>
        <v>91</v>
      </c>
      <c r="D304" s="7"/>
    </row>
    <row r="305" spans="1:13" x14ac:dyDescent="0.2">
      <c r="A305" s="2">
        <v>302</v>
      </c>
      <c r="B305" s="2" t="s">
        <v>305</v>
      </c>
      <c r="C305" s="11">
        <f>_11_A通院２１．５-_11_A通院２０．５</f>
        <v>169</v>
      </c>
      <c r="D305" s="7"/>
    </row>
    <row r="306" spans="1:13" x14ac:dyDescent="0.2">
      <c r="A306" s="2">
        <v>303</v>
      </c>
      <c r="B306" s="2" t="s">
        <v>306</v>
      </c>
      <c r="C306" s="11">
        <f>_11_A通院２１．５-_11_A通院２１．０</f>
        <v>78</v>
      </c>
      <c r="D306" s="7"/>
    </row>
    <row r="307" spans="1:13" x14ac:dyDescent="0.2">
      <c r="A307" s="2">
        <v>304</v>
      </c>
      <c r="B307" s="2" t="s">
        <v>307</v>
      </c>
      <c r="C307" s="9">
        <f>_11_A身体１．５-(_11_A身体０．５+(_11_A身体１．０-_11_A身体０．５))</f>
        <v>183</v>
      </c>
      <c r="D307" s="7"/>
      <c r="H307" s="12"/>
    </row>
    <row r="308" spans="1:13" x14ac:dyDescent="0.2">
      <c r="A308" s="2">
        <v>305</v>
      </c>
      <c r="B308" s="2" t="s">
        <v>308</v>
      </c>
      <c r="C308" s="9">
        <f>_11_A身体２．０-(_11_A身体０．５+(_11_A身体１．０-_11_A身体０．５))</f>
        <v>265</v>
      </c>
      <c r="D308" s="7"/>
    </row>
    <row r="309" spans="1:13" x14ac:dyDescent="0.2">
      <c r="A309" s="2">
        <v>306</v>
      </c>
      <c r="B309" s="2" t="s">
        <v>309</v>
      </c>
      <c r="C309" s="9">
        <f>_11_A身体２．５-(_11_A身体０．５+(_11_A身体１．０-_11_A身体０．５))</f>
        <v>350</v>
      </c>
      <c r="D309" s="7"/>
      <c r="M309" s="12"/>
    </row>
    <row r="310" spans="1:13" x14ac:dyDescent="0.2">
      <c r="A310" s="2">
        <v>307</v>
      </c>
      <c r="B310" s="2" t="s">
        <v>310</v>
      </c>
      <c r="C310" s="9">
        <f>_11_A身体３．０-(_11_A身体０．５+(_11_A身体１．０-_11_A身体０．５))</f>
        <v>433</v>
      </c>
      <c r="D310" s="7"/>
    </row>
    <row r="311" spans="1:13" x14ac:dyDescent="0.2">
      <c r="A311" s="2">
        <v>308</v>
      </c>
      <c r="B311" s="2" t="s">
        <v>311</v>
      </c>
      <c r="C311" s="9">
        <f>_11_A身体２．０-(_11_A身体０．５+(_11_A身体１．５-_11_A身体０．５))</f>
        <v>82</v>
      </c>
      <c r="D311" s="7"/>
    </row>
    <row r="312" spans="1:13" x14ac:dyDescent="0.2">
      <c r="A312" s="2">
        <v>309</v>
      </c>
      <c r="B312" s="2" t="s">
        <v>312</v>
      </c>
      <c r="C312" s="9">
        <f>_11_A身体２．５-(_11_A身体０．５+(_11_A身体１．５-_11_A身体０．５))</f>
        <v>167</v>
      </c>
      <c r="D312" s="7"/>
    </row>
    <row r="313" spans="1:13" x14ac:dyDescent="0.2">
      <c r="A313" s="2">
        <v>310</v>
      </c>
      <c r="B313" s="2" t="s">
        <v>313</v>
      </c>
      <c r="C313" s="9">
        <f>_11_A身体３．０-(_11_A身体０．５+(_11_A身体１．５-_11_A身体０．５))</f>
        <v>250</v>
      </c>
      <c r="D313" s="7"/>
    </row>
    <row r="314" spans="1:13" x14ac:dyDescent="0.2">
      <c r="A314" s="2">
        <v>311</v>
      </c>
      <c r="B314" s="2" t="s">
        <v>314</v>
      </c>
      <c r="C314" s="9">
        <f>_11_A身体２．５-(_11_A身体０．５+(_11_A身体２．０-_11_A身体０．５))</f>
        <v>85</v>
      </c>
      <c r="D314" s="7"/>
    </row>
    <row r="315" spans="1:13" x14ac:dyDescent="0.2">
      <c r="A315" s="2">
        <v>312</v>
      </c>
      <c r="B315" s="2" t="s">
        <v>315</v>
      </c>
      <c r="C315" s="9">
        <f>_11_A身体３．０-(_11_A身体０．５+(_11_A身体２．０-_11_A身体０．５))</f>
        <v>168</v>
      </c>
      <c r="D315" s="7"/>
    </row>
    <row r="316" spans="1:13" x14ac:dyDescent="0.2">
      <c r="A316" s="2">
        <v>313</v>
      </c>
      <c r="B316" s="2" t="s">
        <v>316</v>
      </c>
      <c r="C316" s="9">
        <f>_11_A身体３．０-(_11_A身体０．５+(_11_A身体２．５-_11_A身体０．５))</f>
        <v>83</v>
      </c>
      <c r="D316" s="7"/>
    </row>
    <row r="317" spans="1:13" x14ac:dyDescent="0.2">
      <c r="A317" s="2">
        <v>314</v>
      </c>
      <c r="B317" s="2" t="s">
        <v>317</v>
      </c>
      <c r="C317" s="9">
        <f>_11_A身体２．０-(_11_A身体１．０+(_11_A身体１．５-_11_A身体１．０))</f>
        <v>82</v>
      </c>
      <c r="D317" s="7"/>
    </row>
    <row r="318" spans="1:13" x14ac:dyDescent="0.2">
      <c r="A318" s="2">
        <v>315</v>
      </c>
      <c r="B318" s="2" t="s">
        <v>318</v>
      </c>
      <c r="C318" s="9">
        <f>_11_A身体２．５-(_11_A身体１．０+(_11_A身体１．５-_11_A身体１．０))</f>
        <v>167</v>
      </c>
      <c r="D318" s="7"/>
    </row>
    <row r="319" spans="1:13" x14ac:dyDescent="0.2">
      <c r="A319" s="2">
        <v>316</v>
      </c>
      <c r="B319" s="2" t="s">
        <v>319</v>
      </c>
      <c r="C319" s="9">
        <f>_11_A身体３．０-(_11_A身体１．０+(_11_A身体１．５-_11_A身体１．０))</f>
        <v>250</v>
      </c>
      <c r="D319" s="7"/>
    </row>
    <row r="320" spans="1:13" x14ac:dyDescent="0.2">
      <c r="A320" s="2">
        <v>317</v>
      </c>
      <c r="B320" s="2" t="s">
        <v>320</v>
      </c>
      <c r="C320" s="9">
        <f>_11_A身体２．５-(_11_A身体１．０+(_11_A身体２．０-_11_A身体１．０))</f>
        <v>85</v>
      </c>
      <c r="D320" s="7"/>
    </row>
    <row r="321" spans="1:4" x14ac:dyDescent="0.2">
      <c r="A321" s="2">
        <v>318</v>
      </c>
      <c r="B321" s="2" t="s">
        <v>321</v>
      </c>
      <c r="C321" s="9">
        <f>_11_A身体３．０-(_11_A身体１．０+(_11_A身体２．０-_11_A身体１．０))</f>
        <v>168</v>
      </c>
      <c r="D321" s="7"/>
    </row>
    <row r="322" spans="1:4" x14ac:dyDescent="0.2">
      <c r="A322" s="2">
        <v>319</v>
      </c>
      <c r="B322" s="2" t="s">
        <v>322</v>
      </c>
      <c r="C322" s="9">
        <f>_11_A身体３．０-(_11_A身体１．０+(_11_A身体２．５-_11_A身体１．０))</f>
        <v>83</v>
      </c>
      <c r="D322" s="7"/>
    </row>
    <row r="323" spans="1:4" x14ac:dyDescent="0.2">
      <c r="A323" s="2">
        <v>320</v>
      </c>
      <c r="B323" s="2" t="s">
        <v>323</v>
      </c>
      <c r="C323" s="9">
        <f>_11_A身体２．５-(_11_A身体１．５+(_11_A身体２．０-_11_A身体１．５))</f>
        <v>85</v>
      </c>
      <c r="D323" s="7"/>
    </row>
    <row r="324" spans="1:4" x14ac:dyDescent="0.2">
      <c r="A324" s="2">
        <v>321</v>
      </c>
      <c r="B324" s="2" t="s">
        <v>324</v>
      </c>
      <c r="C324" s="9">
        <f>_11_A身体３．０-(_11_A身体１．５+(_11_A身体２．０-_11_A身体１．５))</f>
        <v>168</v>
      </c>
      <c r="D324" s="7"/>
    </row>
    <row r="325" spans="1:4" x14ac:dyDescent="0.2">
      <c r="A325" s="2">
        <v>322</v>
      </c>
      <c r="B325" s="2" t="s">
        <v>325</v>
      </c>
      <c r="C325" s="9">
        <f>_11_A身体３．０-(_11_A身体１．５+(_11_A身体２．５-_11_A身体１．５))</f>
        <v>83</v>
      </c>
      <c r="D325" s="7"/>
    </row>
    <row r="326" spans="1:4" x14ac:dyDescent="0.2">
      <c r="A326" s="2">
        <v>323</v>
      </c>
      <c r="B326" s="2" t="s">
        <v>326</v>
      </c>
      <c r="C326" s="9">
        <f>_11_A身体３．０-(_11_A身体２．０+(_11_A身体２．５-_11_A身体２．０))</f>
        <v>83</v>
      </c>
      <c r="D326" s="7"/>
    </row>
    <row r="327" spans="1:4" x14ac:dyDescent="0.2">
      <c r="A327" s="2">
        <v>324</v>
      </c>
      <c r="B327" s="2" t="s">
        <v>327</v>
      </c>
      <c r="C327" s="9">
        <f>_11_A通院１１．５-(_11_A通院１０．５+(_11_A通院１１．０-_11_A通院１０．５))</f>
        <v>183</v>
      </c>
      <c r="D327" s="7"/>
    </row>
    <row r="328" spans="1:4" x14ac:dyDescent="0.2">
      <c r="A328" s="2">
        <v>325</v>
      </c>
      <c r="B328" s="2" t="s">
        <v>328</v>
      </c>
      <c r="C328" s="9">
        <f>_11_A通院１２．０-(_11_A通院１０．５+(_11_A通院１１．０-_11_A通院１０．５))</f>
        <v>265</v>
      </c>
      <c r="D328" s="7"/>
    </row>
    <row r="329" spans="1:4" x14ac:dyDescent="0.2">
      <c r="A329" s="2">
        <v>326</v>
      </c>
      <c r="B329" s="2" t="s">
        <v>329</v>
      </c>
      <c r="C329" s="9">
        <f>_11_A通院１２．５-(_11_A通院１０．５+(_11_A通院１１．０-_11_A通院１０．５))</f>
        <v>350</v>
      </c>
      <c r="D329" s="7"/>
    </row>
    <row r="330" spans="1:4" x14ac:dyDescent="0.2">
      <c r="A330" s="2">
        <v>327</v>
      </c>
      <c r="B330" s="2" t="s">
        <v>330</v>
      </c>
      <c r="C330" s="9">
        <f>_11_A通院１３．０-(_11_A通院１０．５+(_11_A通院１１．０-_11_A通院１０．５))</f>
        <v>433</v>
      </c>
      <c r="D330" s="7"/>
    </row>
    <row r="331" spans="1:4" x14ac:dyDescent="0.2">
      <c r="A331" s="2">
        <v>328</v>
      </c>
      <c r="B331" s="2" t="s">
        <v>331</v>
      </c>
      <c r="C331" s="9">
        <f>_11_A通院１２．０-(_11_A通院１０．５+(_11_A通院１１．５-_11_A通院１０．５))</f>
        <v>82</v>
      </c>
      <c r="D331" s="7"/>
    </row>
    <row r="332" spans="1:4" x14ac:dyDescent="0.2">
      <c r="A332" s="2">
        <v>329</v>
      </c>
      <c r="B332" s="2" t="s">
        <v>332</v>
      </c>
      <c r="C332" s="9">
        <f>_11_A通院１２．５-(_11_A通院１０．５+(_11_A通院１１．５-_11_A通院１０．５))</f>
        <v>167</v>
      </c>
      <c r="D332" s="7"/>
    </row>
    <row r="333" spans="1:4" x14ac:dyDescent="0.2">
      <c r="A333" s="2">
        <v>330</v>
      </c>
      <c r="B333" s="2" t="s">
        <v>333</v>
      </c>
      <c r="C333" s="9">
        <f>_11_A通院１３．０-(_11_A通院１０．５+(_11_A通院１１．５-_11_A通院１０．５))</f>
        <v>250</v>
      </c>
      <c r="D333" s="7"/>
    </row>
    <row r="334" spans="1:4" x14ac:dyDescent="0.2">
      <c r="A334" s="2">
        <v>331</v>
      </c>
      <c r="B334" s="2" t="s">
        <v>334</v>
      </c>
      <c r="C334" s="9">
        <f>_11_A通院１２．５-(_11_A通院１０．５+(_11_A通院１２．０-_11_A通院１０．５))</f>
        <v>85</v>
      </c>
      <c r="D334" s="7"/>
    </row>
    <row r="335" spans="1:4" x14ac:dyDescent="0.2">
      <c r="A335" s="2">
        <v>332</v>
      </c>
      <c r="B335" s="2" t="s">
        <v>335</v>
      </c>
      <c r="C335" s="9">
        <f>_11_A通院１３．０-(_11_A通院１０．５+(_11_A通院１２．０-_11_A通院１０．５))</f>
        <v>168</v>
      </c>
      <c r="D335" s="7"/>
    </row>
    <row r="336" spans="1:4" x14ac:dyDescent="0.2">
      <c r="A336" s="2">
        <v>333</v>
      </c>
      <c r="B336" s="2" t="s">
        <v>336</v>
      </c>
      <c r="C336" s="9">
        <f>_11_A通院１３．０-(_11_A通院１０．５+(_11_A通院１２．５-_11_A通院１０．５))</f>
        <v>83</v>
      </c>
      <c r="D336" s="7"/>
    </row>
    <row r="337" spans="1:4" x14ac:dyDescent="0.2">
      <c r="A337" s="2">
        <v>334</v>
      </c>
      <c r="B337" s="2" t="s">
        <v>337</v>
      </c>
      <c r="C337" s="9">
        <f>_11_A通院１２．０-(_11_A通院１１．０+(_11_A通院１１．５-_11_A通院１１．０))</f>
        <v>82</v>
      </c>
      <c r="D337" s="7"/>
    </row>
    <row r="338" spans="1:4" x14ac:dyDescent="0.2">
      <c r="A338" s="2">
        <v>335</v>
      </c>
      <c r="B338" s="2" t="s">
        <v>338</v>
      </c>
      <c r="C338" s="9">
        <f>_11_A通院１２．５-(_11_A通院１１．０+(_11_A通院１１．５-_11_A通院１１．０))</f>
        <v>167</v>
      </c>
      <c r="D338" s="7"/>
    </row>
    <row r="339" spans="1:4" x14ac:dyDescent="0.2">
      <c r="A339" s="2">
        <v>336</v>
      </c>
      <c r="B339" s="2" t="s">
        <v>339</v>
      </c>
      <c r="C339" s="9">
        <f>_11_A通院１３．０-(_11_A通院１１．０+(_11_A通院１１．５-_11_A通院１１．０))</f>
        <v>250</v>
      </c>
      <c r="D339" s="7"/>
    </row>
    <row r="340" spans="1:4" x14ac:dyDescent="0.2">
      <c r="A340" s="2">
        <v>337</v>
      </c>
      <c r="B340" s="2" t="s">
        <v>340</v>
      </c>
      <c r="C340" s="9">
        <f>_11_A通院１２．５-(_11_A通院１１．０+(_11_A通院１２．０-_11_A通院１１．０))</f>
        <v>85</v>
      </c>
      <c r="D340" s="7"/>
    </row>
    <row r="341" spans="1:4" x14ac:dyDescent="0.2">
      <c r="A341" s="2">
        <v>338</v>
      </c>
      <c r="B341" s="2" t="s">
        <v>341</v>
      </c>
      <c r="C341" s="9">
        <f>_11_A通院１３．０-(_11_A通院１１．０+(_11_A通院１２．０-_11_A通院１１．０))</f>
        <v>168</v>
      </c>
      <c r="D341" s="7"/>
    </row>
    <row r="342" spans="1:4" x14ac:dyDescent="0.2">
      <c r="A342" s="2">
        <v>339</v>
      </c>
      <c r="B342" s="2" t="s">
        <v>342</v>
      </c>
      <c r="C342" s="9">
        <f>_11_A通院１３．０-(_11_A通院１１．０+(_11_A通院１２．５-_11_A通院１１．０))</f>
        <v>83</v>
      </c>
      <c r="D342" s="7"/>
    </row>
    <row r="343" spans="1:4" x14ac:dyDescent="0.2">
      <c r="A343" s="2">
        <v>340</v>
      </c>
      <c r="B343" s="2" t="s">
        <v>343</v>
      </c>
      <c r="C343" s="9">
        <f>_11_A通院１２．５-(_11_A通院１１．５+(_11_A通院１２．０-_11_A通院１１．５))</f>
        <v>85</v>
      </c>
      <c r="D343" s="7"/>
    </row>
    <row r="344" spans="1:4" x14ac:dyDescent="0.2">
      <c r="A344" s="2">
        <v>341</v>
      </c>
      <c r="B344" s="2" t="s">
        <v>344</v>
      </c>
      <c r="C344" s="9">
        <f>_11_A通院１３．０-(_11_A通院１１．５+(_11_A通院１２．０-_11_A通院１１．５))</f>
        <v>168</v>
      </c>
      <c r="D344" s="7"/>
    </row>
    <row r="345" spans="1:4" x14ac:dyDescent="0.2">
      <c r="A345" s="2">
        <v>342</v>
      </c>
      <c r="B345" s="2" t="s">
        <v>345</v>
      </c>
      <c r="C345" s="11">
        <f>_11_A通院１３．０-(_11_A通院１１．５+(_11_A通院１２．５-_11_A通院１１．５))</f>
        <v>83</v>
      </c>
      <c r="D345" s="7"/>
    </row>
    <row r="346" spans="1:4" x14ac:dyDescent="0.2">
      <c r="A346" s="2">
        <v>343</v>
      </c>
      <c r="B346" s="2" t="s">
        <v>346</v>
      </c>
      <c r="C346" s="11">
        <f>_11_A通院１３．０-(_11_A通院１２．０+(_11_A通院１２．５-_11_A通院１２．０))</f>
        <v>83</v>
      </c>
      <c r="D346" s="7"/>
    </row>
    <row r="347" spans="1:4" x14ac:dyDescent="0.2">
      <c r="A347" s="2">
        <v>344</v>
      </c>
      <c r="B347" s="2" t="s">
        <v>347</v>
      </c>
      <c r="C347" s="11">
        <f>_11_A重度研修２．０-(_11_A重度研修１．０+(_11_A重度研修１．５-_11_A重度研修１．０))</f>
        <v>92</v>
      </c>
      <c r="D347" s="7"/>
    </row>
    <row r="348" spans="1:4" x14ac:dyDescent="0.2">
      <c r="A348" s="2">
        <v>345</v>
      </c>
      <c r="B348" s="2" t="s">
        <v>348</v>
      </c>
      <c r="C348" s="9">
        <f>_11_A重度研修２．５-(_11_A重度研修１．０+(_11_A重度研修１．５-_11_A重度研修１．０))</f>
        <v>184</v>
      </c>
      <c r="D348" s="7"/>
    </row>
    <row r="349" spans="1:4" x14ac:dyDescent="0.2">
      <c r="A349" s="2">
        <v>346</v>
      </c>
      <c r="B349" s="2" t="s">
        <v>349</v>
      </c>
      <c r="C349" s="9">
        <f>_11_A重度研修３．０-(_11_A重度研修１．０+(_11_A重度研修１．５-_11_A重度研修１．０))</f>
        <v>276</v>
      </c>
      <c r="D349" s="7"/>
    </row>
    <row r="350" spans="1:4" x14ac:dyDescent="0.2">
      <c r="A350" s="2">
        <v>347</v>
      </c>
      <c r="B350" s="2" t="s">
        <v>350</v>
      </c>
      <c r="C350" s="9">
        <f>_11_A重度研修２．５-(_11_A重度研修１．０+(_11_A重度研修２．０-_11_A重度研修１．０))</f>
        <v>92</v>
      </c>
      <c r="D350" s="7"/>
    </row>
    <row r="351" spans="1:4" x14ac:dyDescent="0.2">
      <c r="A351" s="2">
        <v>348</v>
      </c>
      <c r="B351" s="2" t="s">
        <v>351</v>
      </c>
      <c r="C351" s="9">
        <f>_11_A重度研修３．０-(_11_A重度研修１．０+(_11_A重度研修２．０-_11_A重度研修１．０))</f>
        <v>184</v>
      </c>
      <c r="D351" s="7"/>
    </row>
    <row r="352" spans="1:4" x14ac:dyDescent="0.2">
      <c r="A352" s="2">
        <v>349</v>
      </c>
      <c r="B352" s="2" t="s">
        <v>352</v>
      </c>
      <c r="C352" s="9">
        <f>_11_A重度研修３．０-(_11_A重度研修１．０+(_11_A重度研修２．５-_11_A重度研修１．０))</f>
        <v>92</v>
      </c>
      <c r="D352" s="7"/>
    </row>
    <row r="353" spans="1:4" x14ac:dyDescent="0.2">
      <c r="A353" s="2">
        <v>350</v>
      </c>
      <c r="B353" s="2" t="s">
        <v>353</v>
      </c>
      <c r="C353" s="9">
        <f>_11_A重度研修２．５-(_11_A重度研修１．５+(_11_A重度研修２．０-_11_A重度研修１．５))</f>
        <v>92</v>
      </c>
      <c r="D353" s="7"/>
    </row>
    <row r="354" spans="1:4" x14ac:dyDescent="0.2">
      <c r="A354" s="2">
        <v>351</v>
      </c>
      <c r="B354" s="2" t="s">
        <v>354</v>
      </c>
      <c r="C354" s="9">
        <f>_11_A重度研修３．０-(_11_A重度研修１．５+(_11_A重度研修２．０-_11_A重度研修１．５))</f>
        <v>184</v>
      </c>
      <c r="D354" s="7"/>
    </row>
    <row r="355" spans="1:4" x14ac:dyDescent="0.2">
      <c r="A355" s="2">
        <v>352</v>
      </c>
      <c r="B355" s="2" t="s">
        <v>355</v>
      </c>
      <c r="C355" s="11">
        <f>_11_A重度研修３．０-(_11_A重度研修１．５+(_11_A重度研修２．５-_11_A重度研修１．５))</f>
        <v>92</v>
      </c>
      <c r="D355" s="7"/>
    </row>
    <row r="356" spans="1:4" x14ac:dyDescent="0.2">
      <c r="A356" s="2">
        <v>353</v>
      </c>
      <c r="B356" s="2" t="s">
        <v>356</v>
      </c>
      <c r="C356" s="11">
        <f>_11_A重度研修３．０-(_11_A重度研修２．０+(_11_A重度研修２．５-_11_A重度研修２．０))</f>
        <v>92</v>
      </c>
      <c r="D356" s="7"/>
    </row>
    <row r="357" spans="1:4" x14ac:dyDescent="0.2">
      <c r="A357" s="2">
        <v>354</v>
      </c>
      <c r="B357" s="2" t="s">
        <v>357</v>
      </c>
      <c r="C357" s="11">
        <f>_11_A家事１．０-(_11_A家事０．５+(_11_A家事０．７５-_11_A家事０．５))</f>
        <v>44</v>
      </c>
      <c r="D357" s="7"/>
    </row>
    <row r="358" spans="1:4" x14ac:dyDescent="0.2">
      <c r="A358" s="2">
        <v>355</v>
      </c>
      <c r="B358" s="2" t="s">
        <v>358</v>
      </c>
      <c r="C358" s="11">
        <f>_11_A家事１．２５-(_11_A家事０．５+(_11_A家事０．７５-_11_A家事０．５))</f>
        <v>86</v>
      </c>
      <c r="D358" s="7"/>
    </row>
    <row r="359" spans="1:4" x14ac:dyDescent="0.2">
      <c r="A359" s="2">
        <v>356</v>
      </c>
      <c r="B359" s="2" t="s">
        <v>359</v>
      </c>
      <c r="C359" s="11">
        <f>_11_A家事１．５-(_11_A家事０．５+(_11_A家事０．７５-_11_A家事０．５))</f>
        <v>122</v>
      </c>
      <c r="D359" s="7"/>
    </row>
    <row r="360" spans="1:4" x14ac:dyDescent="0.2">
      <c r="A360" s="2">
        <v>357</v>
      </c>
      <c r="B360" s="2" t="s">
        <v>360</v>
      </c>
      <c r="C360" s="11">
        <f>_11_A家事１．２５-(_11_A家事０．５+(_11_A家事１．０-_11_A家事０．５))</f>
        <v>42</v>
      </c>
      <c r="D360" s="7"/>
    </row>
    <row r="361" spans="1:4" x14ac:dyDescent="0.2">
      <c r="A361" s="2">
        <v>358</v>
      </c>
      <c r="B361" s="2" t="s">
        <v>361</v>
      </c>
      <c r="C361" s="11">
        <f>_11_A家事１．５-(_11_A家事０．５+(_11_A家事１．０-_11_A家事０．５))</f>
        <v>78</v>
      </c>
      <c r="D361" s="7"/>
    </row>
    <row r="362" spans="1:4" x14ac:dyDescent="0.2">
      <c r="A362" s="2">
        <v>359</v>
      </c>
      <c r="B362" s="2" t="s">
        <v>362</v>
      </c>
      <c r="C362" s="11">
        <f>_11_A家事１．５-(_11_A家事０．５+(_11_A家事１．２５-_11_A家事０．５))</f>
        <v>36</v>
      </c>
      <c r="D362" s="7"/>
    </row>
    <row r="363" spans="1:4" x14ac:dyDescent="0.2">
      <c r="A363" s="2">
        <v>360</v>
      </c>
      <c r="B363" s="2" t="s">
        <v>363</v>
      </c>
      <c r="C363" s="11">
        <f>_11_A家事１．２５-(_11_A家事０．７５+(_11_A家事１．０-_11_A家事０．７５))</f>
        <v>42</v>
      </c>
      <c r="D363" s="7"/>
    </row>
    <row r="364" spans="1:4" x14ac:dyDescent="0.2">
      <c r="A364" s="2">
        <v>361</v>
      </c>
      <c r="B364" s="2" t="s">
        <v>364</v>
      </c>
      <c r="C364" s="11">
        <f>_11_A家事１．５-(_11_A家事０．７５+(_11_A家事１．０-_11_A家事０．７５))</f>
        <v>78</v>
      </c>
      <c r="D364" s="7"/>
    </row>
    <row r="365" spans="1:4" x14ac:dyDescent="0.2">
      <c r="A365" s="2">
        <v>362</v>
      </c>
      <c r="B365" s="2" t="s">
        <v>365</v>
      </c>
      <c r="C365" s="11">
        <f>_11_A家事１．５-(_11_A家事０．７５+(_11_A家事１．２５-_11_A家事０．７５))</f>
        <v>36</v>
      </c>
      <c r="D365" s="7"/>
    </row>
    <row r="366" spans="1:4" x14ac:dyDescent="0.2">
      <c r="A366" s="2">
        <v>363</v>
      </c>
      <c r="B366" s="2" t="s">
        <v>366</v>
      </c>
      <c r="C366" s="11">
        <f>_11_A家事１．５-(_11_A家事１．０+(_11_A家事１．２５-_11_A家事１．０))</f>
        <v>36</v>
      </c>
      <c r="D366" s="7"/>
    </row>
    <row r="367" spans="1:4" x14ac:dyDescent="0.2">
      <c r="A367" s="2">
        <v>364</v>
      </c>
      <c r="B367" s="2" t="s">
        <v>367</v>
      </c>
      <c r="C367" s="11">
        <f>_11_A通院２１．５-(_11_A通院２０．５+(_11_A通院２１．０-_11_A通院２０．５))</f>
        <v>78</v>
      </c>
      <c r="D367" s="7"/>
    </row>
    <row r="368" spans="1:4" x14ac:dyDescent="0.2">
      <c r="A368" s="2">
        <v>365</v>
      </c>
      <c r="B368" s="2" t="s">
        <v>368</v>
      </c>
      <c r="C368" s="13">
        <v>1</v>
      </c>
      <c r="D368" s="14"/>
    </row>
    <row r="369" spans="1:4" x14ac:dyDescent="0.2">
      <c r="A369" s="2">
        <v>366</v>
      </c>
      <c r="B369" s="2" t="s">
        <v>369</v>
      </c>
      <c r="C369" s="13">
        <v>0.5</v>
      </c>
      <c r="D369" s="14"/>
    </row>
    <row r="370" spans="1:4" x14ac:dyDescent="0.2">
      <c r="A370" s="2">
        <v>367</v>
      </c>
      <c r="B370" s="2" t="s">
        <v>370</v>
      </c>
      <c r="C370" s="13">
        <v>0.25</v>
      </c>
      <c r="D370" s="14"/>
    </row>
    <row r="371" spans="1:4" x14ac:dyDescent="0.2">
      <c r="A371" s="2">
        <v>368</v>
      </c>
      <c r="B371" s="2" t="s">
        <v>371</v>
      </c>
      <c r="C371" s="13">
        <v>0.25</v>
      </c>
      <c r="D371" s="14"/>
    </row>
    <row r="372" spans="1:4" x14ac:dyDescent="0.2">
      <c r="A372" s="2">
        <v>369</v>
      </c>
      <c r="B372" s="2" t="s">
        <v>372</v>
      </c>
      <c r="C372" s="13">
        <v>0.5</v>
      </c>
      <c r="D372" s="14"/>
    </row>
    <row r="373" spans="1:4" x14ac:dyDescent="0.2">
      <c r="A373" s="2">
        <v>370</v>
      </c>
      <c r="B373" s="2" t="s">
        <v>373</v>
      </c>
      <c r="C373" s="13">
        <v>0.25</v>
      </c>
      <c r="D373" s="14"/>
    </row>
    <row r="374" spans="1:4" x14ac:dyDescent="0.2">
      <c r="A374" s="2">
        <v>371</v>
      </c>
      <c r="B374" s="2" t="s">
        <v>374</v>
      </c>
      <c r="C374" s="13">
        <v>0.25</v>
      </c>
      <c r="D374" s="14"/>
    </row>
    <row r="375" spans="1:4" x14ac:dyDescent="0.2">
      <c r="A375" s="2">
        <v>372</v>
      </c>
      <c r="B375" s="2" t="s">
        <v>375</v>
      </c>
      <c r="C375" s="13">
        <v>0.5</v>
      </c>
      <c r="D375" s="14"/>
    </row>
    <row r="376" spans="1:4" x14ac:dyDescent="0.2">
      <c r="A376" s="2">
        <v>373</v>
      </c>
      <c r="B376" s="2" t="s">
        <v>376</v>
      </c>
      <c r="C376" s="13">
        <v>0.25</v>
      </c>
      <c r="D376" s="14"/>
    </row>
    <row r="377" spans="1:4" x14ac:dyDescent="0.2">
      <c r="A377" s="2">
        <v>374</v>
      </c>
      <c r="B377" s="2" t="s">
        <v>377</v>
      </c>
      <c r="C377" s="13">
        <v>0.7</v>
      </c>
      <c r="D377" s="14"/>
    </row>
    <row r="378" spans="1:4" x14ac:dyDescent="0.2">
      <c r="A378" s="2">
        <v>375</v>
      </c>
      <c r="B378" s="2" t="s">
        <v>378</v>
      </c>
      <c r="C378" s="13">
        <v>0.9</v>
      </c>
      <c r="D378" s="14"/>
    </row>
    <row r="379" spans="1:4" x14ac:dyDescent="0.2">
      <c r="A379" s="2">
        <v>376</v>
      </c>
      <c r="B379" s="2" t="s">
        <v>379</v>
      </c>
      <c r="C379" s="13">
        <v>0.9</v>
      </c>
      <c r="D379" s="14"/>
    </row>
    <row r="380" spans="1:4" x14ac:dyDescent="0.2">
      <c r="A380" s="15">
        <v>377</v>
      </c>
      <c r="B380" s="15" t="s">
        <v>380</v>
      </c>
      <c r="C380" s="16">
        <v>0.7</v>
      </c>
      <c r="D380" s="14"/>
    </row>
    <row r="381" spans="1:4" x14ac:dyDescent="0.2">
      <c r="A381" s="2">
        <v>380</v>
      </c>
      <c r="B381" s="2" t="s">
        <v>381</v>
      </c>
      <c r="C381" s="17">
        <v>102</v>
      </c>
      <c r="D381" s="18"/>
    </row>
    <row r="382" spans="1:4" x14ac:dyDescent="0.2">
      <c r="A382" s="19">
        <v>381</v>
      </c>
      <c r="B382" s="19" t="s">
        <v>382</v>
      </c>
      <c r="C382" s="20">
        <v>0.01</v>
      </c>
      <c r="D382" s="21"/>
    </row>
    <row r="383" spans="1:4" x14ac:dyDescent="0.2">
      <c r="A383" s="19">
        <v>382</v>
      </c>
      <c r="B383" s="19" t="s">
        <v>383</v>
      </c>
      <c r="C383" s="20">
        <v>0.01</v>
      </c>
      <c r="D383" s="21"/>
    </row>
    <row r="384" spans="1:4" x14ac:dyDescent="0.2">
      <c r="A384" s="19">
        <v>383</v>
      </c>
      <c r="B384" s="19" t="s">
        <v>384</v>
      </c>
      <c r="C384" s="20">
        <v>0.01</v>
      </c>
      <c r="D384" s="21"/>
    </row>
    <row r="385" spans="1:4" x14ac:dyDescent="0.2">
      <c r="A385" s="19">
        <v>384</v>
      </c>
      <c r="B385" s="19" t="s">
        <v>385</v>
      </c>
      <c r="C385" s="20">
        <v>0.05</v>
      </c>
      <c r="D385" s="21"/>
    </row>
  </sheetData>
  <phoneticPr fontId="1"/>
  <pageMargins left="0.7" right="0.7" top="0.75" bottom="0.75" header="0.3" footer="0.3"/>
  <pageSetup paperSize="9" scale="92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84"/>
  <sheetViews>
    <sheetView workbookViewId="0"/>
  </sheetViews>
  <sheetFormatPr defaultColWidth="8.90625" defaultRowHeight="14" x14ac:dyDescent="0.2"/>
  <cols>
    <col min="1" max="1" width="4.6328125" style="22" customWidth="1"/>
    <col min="2" max="2" width="7.6328125" style="22" customWidth="1"/>
    <col min="3" max="3" width="48.453125" style="23" bestFit="1" customWidth="1"/>
    <col min="4" max="4" width="4.90625" style="23" customWidth="1"/>
    <col min="5" max="5" width="4.453125" style="25" bestFit="1" customWidth="1"/>
    <col min="6" max="6" width="4.90625" style="23" customWidth="1"/>
    <col min="7" max="7" width="4.453125" style="25" customWidth="1"/>
    <col min="8" max="8" width="4.90625" style="23" customWidth="1"/>
    <col min="9" max="9" width="4.453125" style="25" bestFit="1" customWidth="1"/>
    <col min="10" max="10" width="11.90625" style="25" customWidth="1"/>
    <col min="11" max="11" width="3.453125" style="25" bestFit="1" customWidth="1"/>
    <col min="12" max="12" width="4.453125" style="26" bestFit="1" customWidth="1"/>
    <col min="13" max="13" width="24.90625" style="27" bestFit="1" customWidth="1"/>
    <col min="14" max="14" width="3.453125" style="25" bestFit="1" customWidth="1"/>
    <col min="15" max="15" width="5.453125" style="26" bestFit="1" customWidth="1"/>
    <col min="16" max="16" width="3.453125" style="25" bestFit="1" customWidth="1"/>
    <col min="17" max="17" width="4.453125" style="26" bestFit="1" customWidth="1"/>
    <col min="18" max="18" width="5.36328125" style="25" bestFit="1" customWidth="1"/>
    <col min="19" max="19" width="3.453125" style="25" bestFit="1" customWidth="1"/>
    <col min="20" max="20" width="4.453125" style="26" bestFit="1" customWidth="1"/>
    <col min="21" max="21" width="5.36328125" style="25" bestFit="1" customWidth="1"/>
    <col min="22" max="22" width="9.90625" style="25" customWidth="1"/>
    <col min="23" max="23" width="4.453125" style="25" bestFit="1" customWidth="1"/>
    <col min="24" max="24" width="7.08984375" style="28" customWidth="1"/>
    <col min="25" max="25" width="8.6328125" style="29" customWidth="1"/>
    <col min="26" max="16384" width="8.90625" style="25"/>
  </cols>
  <sheetData>
    <row r="1" spans="1:25" ht="17.149999999999999" customHeight="1" x14ac:dyDescent="0.2"/>
    <row r="2" spans="1:25" ht="17.149999999999999" customHeight="1" x14ac:dyDescent="0.2"/>
    <row r="3" spans="1:25" ht="17.149999999999999" customHeight="1" x14ac:dyDescent="0.2"/>
    <row r="4" spans="1:25" ht="17.149999999999999" customHeight="1" x14ac:dyDescent="0.2">
      <c r="B4" s="30" t="s">
        <v>1025</v>
      </c>
      <c r="D4" s="65"/>
    </row>
    <row r="5" spans="1:25" ht="16.5" customHeight="1" x14ac:dyDescent="0.2">
      <c r="A5" s="31" t="s">
        <v>386</v>
      </c>
      <c r="B5" s="32"/>
      <c r="C5" s="33" t="s">
        <v>387</v>
      </c>
      <c r="D5" s="34" t="s">
        <v>388</v>
      </c>
      <c r="E5" s="34"/>
      <c r="F5" s="34"/>
      <c r="G5" s="34"/>
      <c r="H5" s="34"/>
      <c r="I5" s="34"/>
      <c r="J5" s="34"/>
      <c r="K5" s="34"/>
      <c r="L5" s="35"/>
      <c r="M5" s="34"/>
      <c r="N5" s="34"/>
      <c r="O5" s="35"/>
      <c r="P5" s="34"/>
      <c r="Q5" s="35"/>
      <c r="R5" s="34"/>
      <c r="S5" s="34"/>
      <c r="T5" s="35"/>
      <c r="U5" s="34"/>
      <c r="V5" s="34"/>
      <c r="W5" s="34"/>
      <c r="X5" s="36" t="s">
        <v>389</v>
      </c>
      <c r="Y5" s="33" t="s">
        <v>390</v>
      </c>
    </row>
    <row r="6" spans="1:25" ht="16.5" customHeight="1" x14ac:dyDescent="0.2">
      <c r="A6" s="37" t="s">
        <v>391</v>
      </c>
      <c r="B6" s="37" t="s">
        <v>392</v>
      </c>
      <c r="C6" s="38"/>
      <c r="D6" s="77" t="s">
        <v>403</v>
      </c>
      <c r="E6" s="113"/>
      <c r="F6" s="77" t="s">
        <v>404</v>
      </c>
      <c r="G6" s="32"/>
      <c r="H6" s="40"/>
      <c r="I6" s="40"/>
      <c r="J6" s="40"/>
      <c r="K6" s="40"/>
      <c r="L6" s="41"/>
      <c r="M6" s="40"/>
      <c r="N6" s="40"/>
      <c r="O6" s="41"/>
      <c r="P6" s="40"/>
      <c r="Q6" s="41"/>
      <c r="R6" s="40"/>
      <c r="S6" s="40"/>
      <c r="T6" s="41"/>
      <c r="U6" s="40"/>
      <c r="V6" s="40"/>
      <c r="W6" s="40"/>
      <c r="X6" s="42" t="s">
        <v>393</v>
      </c>
      <c r="Y6" s="43" t="s">
        <v>394</v>
      </c>
    </row>
    <row r="7" spans="1:25" ht="16.5" customHeight="1" x14ac:dyDescent="0.2">
      <c r="A7" s="44">
        <v>16</v>
      </c>
      <c r="B7" s="44">
        <v>3607</v>
      </c>
      <c r="C7" s="45" t="s">
        <v>1027</v>
      </c>
      <c r="D7" s="245" t="s">
        <v>1957</v>
      </c>
      <c r="E7" s="246"/>
      <c r="F7" s="245" t="s">
        <v>1991</v>
      </c>
      <c r="G7" s="246"/>
      <c r="H7" s="245" t="s">
        <v>1975</v>
      </c>
      <c r="I7" s="246"/>
      <c r="J7" s="47"/>
      <c r="M7" s="48"/>
      <c r="N7" s="49"/>
      <c r="O7" s="50"/>
      <c r="P7" s="67" t="s">
        <v>405</v>
      </c>
      <c r="R7" s="63"/>
      <c r="S7" s="80" t="s">
        <v>406</v>
      </c>
      <c r="U7" s="63"/>
      <c r="V7" s="47"/>
      <c r="X7" s="51">
        <f>ROUND((_11_A通院１０．５*(1+_11・A深夜)),0)+ROUND((_11_B通院１０．５＿１．５*(1+_11・B早朝)),0)+_11_C通院１０．５＿１．５＿０．５</f>
        <v>985</v>
      </c>
      <c r="Y7" s="52" t="s">
        <v>395</v>
      </c>
    </row>
    <row r="8" spans="1:25" ht="16.5" customHeight="1" x14ac:dyDescent="0.2">
      <c r="A8" s="44">
        <v>16</v>
      </c>
      <c r="B8" s="53">
        <v>3608</v>
      </c>
      <c r="C8" s="69" t="s">
        <v>1028</v>
      </c>
      <c r="D8" s="245"/>
      <c r="E8" s="246"/>
      <c r="F8" s="245"/>
      <c r="G8" s="246"/>
      <c r="H8" s="245"/>
      <c r="I8" s="246"/>
      <c r="J8" s="54"/>
      <c r="K8" s="49"/>
      <c r="L8" s="50"/>
      <c r="M8" s="55" t="s">
        <v>396</v>
      </c>
      <c r="N8" s="56" t="s">
        <v>397</v>
      </c>
      <c r="O8" s="57">
        <v>1</v>
      </c>
      <c r="P8" s="47" t="s">
        <v>397</v>
      </c>
      <c r="Q8" s="26">
        <v>0.5</v>
      </c>
      <c r="R8" s="248" t="s">
        <v>400</v>
      </c>
      <c r="S8" s="47" t="s">
        <v>397</v>
      </c>
      <c r="T8" s="26">
        <v>0.25</v>
      </c>
      <c r="U8" s="248" t="s">
        <v>400</v>
      </c>
      <c r="V8" s="47"/>
      <c r="X8" s="58">
        <f>ROUND((ROUND((_11_A通院１０．５*_11・２人),0)*(1+_11・A深夜)),0)+ROUND((ROUND((_11_B通院１０．５＿１．５*_11・２人),0)*(1+_11・B早朝)),0)+ROUND((_11_C通院１０．５＿１．５＿０．５*_11・２人),0)</f>
        <v>985</v>
      </c>
      <c r="Y8" s="59"/>
    </row>
    <row r="9" spans="1:25" ht="16.5" customHeight="1" x14ac:dyDescent="0.2">
      <c r="A9" s="44">
        <v>16</v>
      </c>
      <c r="B9" s="53">
        <v>3609</v>
      </c>
      <c r="C9" s="69" t="s">
        <v>1029</v>
      </c>
      <c r="D9" s="245"/>
      <c r="E9" s="246"/>
      <c r="F9" s="245"/>
      <c r="G9" s="246"/>
      <c r="H9" s="245"/>
      <c r="I9" s="246"/>
      <c r="J9" s="241" t="s">
        <v>398</v>
      </c>
      <c r="K9" s="60" t="s">
        <v>397</v>
      </c>
      <c r="L9" s="61">
        <v>0.7</v>
      </c>
      <c r="M9" s="55"/>
      <c r="N9" s="56"/>
      <c r="O9" s="57"/>
      <c r="P9" s="47"/>
      <c r="R9" s="248"/>
      <c r="S9" s="47"/>
      <c r="U9" s="248"/>
      <c r="V9" s="47"/>
      <c r="X9" s="58">
        <f>ROUND((ROUND((_11_A通院１０．５*_11・基礎１),0)*(1+_11・A深夜)),0)+ROUND((ROUND((_11_B通院１０．５＿１．５*_11・基礎１),0)*(1+_11・B早朝)),0)+ROUND((_11_C通院１０．５＿１．５＿０．５*_11・基礎１),0)</f>
        <v>690</v>
      </c>
      <c r="Y9" s="59"/>
    </row>
    <row r="10" spans="1:25" ht="16.5" customHeight="1" x14ac:dyDescent="0.2">
      <c r="A10" s="44">
        <v>16</v>
      </c>
      <c r="B10" s="53">
        <v>3610</v>
      </c>
      <c r="C10" s="69" t="s">
        <v>1030</v>
      </c>
      <c r="D10" s="99">
        <f>_11_A通院１０．５</f>
        <v>256</v>
      </c>
      <c r="E10" s="25" t="s">
        <v>394</v>
      </c>
      <c r="F10" s="99">
        <f>_11_B通院１０．５＿１．５</f>
        <v>413</v>
      </c>
      <c r="G10" s="25" t="s">
        <v>394</v>
      </c>
      <c r="H10" s="99">
        <f>_11_C通院１０．５＿１．５＿０．５</f>
        <v>85</v>
      </c>
      <c r="I10" s="25" t="s">
        <v>394</v>
      </c>
      <c r="J10" s="257"/>
      <c r="K10" s="49"/>
      <c r="L10" s="50"/>
      <c r="M10" s="55" t="s">
        <v>396</v>
      </c>
      <c r="N10" s="56" t="s">
        <v>397</v>
      </c>
      <c r="O10" s="57">
        <v>1</v>
      </c>
      <c r="P10" s="47"/>
      <c r="R10" s="63"/>
      <c r="S10" s="47"/>
      <c r="U10" s="63"/>
      <c r="V10" s="54"/>
      <c r="W10" s="49"/>
      <c r="X10" s="58">
        <f>ROUND((ROUND((ROUND((_11_A通院１０．５*_11・基礎１),0)*_11・２人),0)*(1+_11・A深夜)),0)+ROUND((ROUND((ROUND((_11_B通院１０．５＿１．５*_11・基礎１),0)*_11・２人),0)*(1+_11・B早朝)),0)+ROUND((ROUND((_11_C通院１０．５＿１．５＿０．５*_11・基礎１),0)*_11・２人),0)</f>
        <v>690</v>
      </c>
      <c r="Y10" s="59"/>
    </row>
    <row r="11" spans="1:25" ht="16.5" customHeight="1" x14ac:dyDescent="0.2">
      <c r="A11" s="44">
        <v>16</v>
      </c>
      <c r="B11" s="53">
        <v>3611</v>
      </c>
      <c r="C11" s="69" t="s">
        <v>1031</v>
      </c>
      <c r="D11" s="67"/>
      <c r="F11" s="67"/>
      <c r="H11" s="243" t="s">
        <v>1976</v>
      </c>
      <c r="I11" s="244"/>
      <c r="J11" s="62"/>
      <c r="K11" s="60"/>
      <c r="L11" s="61"/>
      <c r="M11" s="55"/>
      <c r="N11" s="56"/>
      <c r="O11" s="57"/>
      <c r="P11" s="47"/>
      <c r="R11" s="63"/>
      <c r="S11" s="47"/>
      <c r="U11" s="63"/>
      <c r="V11" s="62"/>
      <c r="W11" s="60"/>
      <c r="X11" s="58">
        <f>ROUND((_11_A通院１０．５*(1+_11・A深夜)),0)+ROUND((_11_B通院１０．５＿１．５*(1+_11・B早朝)),0)+_11_C通院１０．５＿１．５＿１．０</f>
        <v>1068</v>
      </c>
      <c r="Y11" s="59"/>
    </row>
    <row r="12" spans="1:25" ht="16.5" customHeight="1" x14ac:dyDescent="0.2">
      <c r="A12" s="44">
        <v>16</v>
      </c>
      <c r="B12" s="53">
        <v>3612</v>
      </c>
      <c r="C12" s="69" t="s">
        <v>1032</v>
      </c>
      <c r="D12" s="67"/>
      <c r="F12" s="67"/>
      <c r="H12" s="245"/>
      <c r="I12" s="246"/>
      <c r="J12" s="54"/>
      <c r="K12" s="49"/>
      <c r="L12" s="50"/>
      <c r="M12" s="55" t="s">
        <v>396</v>
      </c>
      <c r="N12" s="56" t="s">
        <v>397</v>
      </c>
      <c r="O12" s="57">
        <v>1</v>
      </c>
      <c r="P12" s="47"/>
      <c r="R12" s="63"/>
      <c r="S12" s="47"/>
      <c r="U12" s="63"/>
      <c r="V12" s="47"/>
      <c r="X12" s="58">
        <f>ROUND((ROUND((_11_A通院１０．５*_11・２人),0)*(1+_11・A深夜)),0)+ROUND((ROUND((_11_B通院１０．５＿１．５*_11・２人),0)*(1+_11・B早朝)),0)+ROUND((_11_C通院１０．５＿１．５＿１．０*_11・２人),0)</f>
        <v>1068</v>
      </c>
      <c r="Y12" s="59"/>
    </row>
    <row r="13" spans="1:25" ht="16.5" customHeight="1" x14ac:dyDescent="0.2">
      <c r="A13" s="44">
        <v>16</v>
      </c>
      <c r="B13" s="53">
        <v>3613</v>
      </c>
      <c r="C13" s="69" t="s">
        <v>1033</v>
      </c>
      <c r="D13" s="67"/>
      <c r="F13" s="67"/>
      <c r="H13" s="245"/>
      <c r="I13" s="246"/>
      <c r="J13" s="241" t="s">
        <v>398</v>
      </c>
      <c r="K13" s="60" t="s">
        <v>397</v>
      </c>
      <c r="L13" s="61">
        <v>0.7</v>
      </c>
      <c r="M13" s="55"/>
      <c r="N13" s="56"/>
      <c r="O13" s="57"/>
      <c r="P13" s="47"/>
      <c r="R13" s="63"/>
      <c r="S13" s="47"/>
      <c r="U13" s="63"/>
      <c r="V13" s="47"/>
      <c r="X13" s="58">
        <f>ROUND((ROUND((_11_A通院１０．５*_11・基礎１),0)*(1+_11・A深夜)),0)+ROUND((ROUND((_11_B通院１０．５＿１．５*_11・基礎１),0)*(1+_11・B早朝)),0)+ROUND((_11_C通院１０．５＿１．５＿１．０*_11・基礎１),0)</f>
        <v>748</v>
      </c>
      <c r="Y13" s="59"/>
    </row>
    <row r="14" spans="1:25" ht="16.5" customHeight="1" x14ac:dyDescent="0.2">
      <c r="A14" s="44">
        <v>16</v>
      </c>
      <c r="B14" s="53">
        <v>3614</v>
      </c>
      <c r="C14" s="69" t="s">
        <v>1034</v>
      </c>
      <c r="D14" s="67"/>
      <c r="F14" s="67"/>
      <c r="H14" s="99">
        <f>_11_C通院１０．５＿１．５＿１．０</f>
        <v>168</v>
      </c>
      <c r="I14" s="25" t="s">
        <v>394</v>
      </c>
      <c r="J14" s="242"/>
      <c r="K14" s="49"/>
      <c r="L14" s="50"/>
      <c r="M14" s="55" t="s">
        <v>396</v>
      </c>
      <c r="N14" s="56" t="s">
        <v>397</v>
      </c>
      <c r="O14" s="57">
        <v>1</v>
      </c>
      <c r="P14" s="47"/>
      <c r="R14" s="63"/>
      <c r="S14" s="47"/>
      <c r="U14" s="63"/>
      <c r="V14" s="54"/>
      <c r="W14" s="49"/>
      <c r="X14" s="58">
        <f>ROUND((ROUND((ROUND((_11_A通院１０．５*_11・基礎１),0)*_11・２人),0)*(1+_11・A深夜)),0)+ROUND((ROUND((ROUND((_11_B通院１０．５＿１．５*_11・基礎１),0)*_11・２人),0)*(1+_11・B早朝)),0)+ROUND((ROUND((_11_C通院１０．５＿１．５＿１．０*_11・基礎１),0)*_11・２人),0)</f>
        <v>748</v>
      </c>
      <c r="Y14" s="59"/>
    </row>
    <row r="15" spans="1:25" ht="16.5" customHeight="1" x14ac:dyDescent="0.2">
      <c r="A15" s="44">
        <v>16</v>
      </c>
      <c r="B15" s="53">
        <v>3615</v>
      </c>
      <c r="C15" s="69" t="s">
        <v>1035</v>
      </c>
      <c r="D15" s="243" t="s">
        <v>1958</v>
      </c>
      <c r="E15" s="244"/>
      <c r="F15" s="243" t="s">
        <v>1991</v>
      </c>
      <c r="G15" s="244"/>
      <c r="H15" s="243" t="s">
        <v>1975</v>
      </c>
      <c r="I15" s="244"/>
      <c r="J15" s="62"/>
      <c r="K15" s="60"/>
      <c r="L15" s="61"/>
      <c r="M15" s="55"/>
      <c r="N15" s="56"/>
      <c r="O15" s="57"/>
      <c r="P15" s="47"/>
      <c r="R15" s="63"/>
      <c r="S15" s="47"/>
      <c r="U15" s="63"/>
      <c r="V15" s="62"/>
      <c r="W15" s="60"/>
      <c r="X15" s="58">
        <f>ROUND((_11_A通院１１．０*(1+_11・A深夜)),0)+ROUND((_11_B通院１１．０＿１．５*(1+_11・B早朝)),0)+_11_C通院１１．０＿１．５＿０．５</f>
        <v>1127</v>
      </c>
      <c r="Y15" s="59"/>
    </row>
    <row r="16" spans="1:25" ht="16.5" customHeight="1" x14ac:dyDescent="0.2">
      <c r="A16" s="44">
        <v>16</v>
      </c>
      <c r="B16" s="53">
        <v>3616</v>
      </c>
      <c r="C16" s="69" t="s">
        <v>1036</v>
      </c>
      <c r="D16" s="245"/>
      <c r="E16" s="246"/>
      <c r="F16" s="245"/>
      <c r="G16" s="246"/>
      <c r="H16" s="245"/>
      <c r="I16" s="246"/>
      <c r="J16" s="54"/>
      <c r="K16" s="49"/>
      <c r="L16" s="50"/>
      <c r="M16" s="55" t="s">
        <v>396</v>
      </c>
      <c r="N16" s="56" t="s">
        <v>397</v>
      </c>
      <c r="O16" s="57">
        <v>1</v>
      </c>
      <c r="P16" s="47"/>
      <c r="R16" s="63"/>
      <c r="S16" s="47"/>
      <c r="U16" s="63"/>
      <c r="V16" s="47"/>
      <c r="X16" s="58">
        <f>ROUND((ROUND((_11_A通院１１．０*_11・２人),0)*(1+_11・A深夜)),0)+ROUND((ROUND((_11_B通院１１．０＿１．５*_11・２人),0)*(1+_11・B早朝)),0)+ROUND((_11_C通院１１．０＿１．５＿０．５*_11・２人),0)</f>
        <v>1127</v>
      </c>
      <c r="Y16" s="59"/>
    </row>
    <row r="17" spans="1:25" ht="16.5" customHeight="1" x14ac:dyDescent="0.2">
      <c r="A17" s="44">
        <v>16</v>
      </c>
      <c r="B17" s="53">
        <v>3617</v>
      </c>
      <c r="C17" s="69" t="s">
        <v>1037</v>
      </c>
      <c r="D17" s="245"/>
      <c r="E17" s="246"/>
      <c r="F17" s="245"/>
      <c r="G17" s="246"/>
      <c r="H17" s="245"/>
      <c r="I17" s="246"/>
      <c r="J17" s="241" t="s">
        <v>398</v>
      </c>
      <c r="K17" s="60" t="s">
        <v>397</v>
      </c>
      <c r="L17" s="61">
        <v>0.7</v>
      </c>
      <c r="M17" s="55"/>
      <c r="N17" s="56"/>
      <c r="O17" s="57"/>
      <c r="P17" s="47"/>
      <c r="R17" s="63"/>
      <c r="S17" s="47"/>
      <c r="U17" s="63"/>
      <c r="V17" s="47"/>
      <c r="X17" s="58">
        <f>ROUND((ROUND((_11_A通院１１．０*_11・基礎１),0)*(1+_11・A深夜)),0)+ROUND((ROUND((_11_B通院１１．０＿１．５*_11・基礎１),0)*(1+_11・B早朝)),0)+ROUND((_11_C通院１１．０＿１．５＿０．５*_11・基礎１),0)</f>
        <v>789</v>
      </c>
      <c r="Y17" s="59"/>
    </row>
    <row r="18" spans="1:25" ht="16.5" customHeight="1" x14ac:dyDescent="0.2">
      <c r="A18" s="44">
        <v>16</v>
      </c>
      <c r="B18" s="53">
        <v>3618</v>
      </c>
      <c r="C18" s="69" t="s">
        <v>1038</v>
      </c>
      <c r="D18" s="99">
        <f>_11_A通院１１．０</f>
        <v>404</v>
      </c>
      <c r="E18" s="25" t="s">
        <v>394</v>
      </c>
      <c r="F18" s="99">
        <f>_11_B通院１１．０＿１．５</f>
        <v>350</v>
      </c>
      <c r="G18" s="25" t="s">
        <v>394</v>
      </c>
      <c r="H18" s="99">
        <f>_11_C通院１１．０＿１．５＿０．５</f>
        <v>83</v>
      </c>
      <c r="I18" s="25" t="s">
        <v>394</v>
      </c>
      <c r="J18" s="242"/>
      <c r="K18" s="49"/>
      <c r="L18" s="50"/>
      <c r="M18" s="55" t="s">
        <v>396</v>
      </c>
      <c r="N18" s="56" t="s">
        <v>397</v>
      </c>
      <c r="O18" s="57">
        <v>1</v>
      </c>
      <c r="P18" s="47"/>
      <c r="R18" s="63"/>
      <c r="S18" s="47"/>
      <c r="U18" s="63"/>
      <c r="V18" s="54"/>
      <c r="W18" s="49"/>
      <c r="X18" s="58">
        <f>ROUND((ROUND((ROUND((_11_A通院１１．０*_11・基礎１),0)*_11・２人),0)*(1+_11・A深夜)),0)+ROUND((ROUND((ROUND((_11_B通院１１．０＿１．５*_11・基礎１),0)*_11・２人),0)*(1+_11・B早朝)),0)+ROUND((ROUND((_11_C通院１１．０＿１．５＿０．５*_11・基礎１),0)*_11・２人),0)</f>
        <v>789</v>
      </c>
      <c r="Y18" s="59"/>
    </row>
    <row r="19" spans="1:25" ht="16.5" customHeight="1" x14ac:dyDescent="0.2">
      <c r="A19" s="44">
        <v>16</v>
      </c>
      <c r="B19" s="53">
        <v>3619</v>
      </c>
      <c r="C19" s="69" t="s">
        <v>1039</v>
      </c>
      <c r="D19" s="243" t="s">
        <v>1992</v>
      </c>
      <c r="E19" s="244"/>
      <c r="F19" s="243" t="s">
        <v>1993</v>
      </c>
      <c r="G19" s="244"/>
      <c r="H19" s="243" t="s">
        <v>1975</v>
      </c>
      <c r="I19" s="244"/>
      <c r="J19" s="62"/>
      <c r="K19" s="60"/>
      <c r="L19" s="61"/>
      <c r="M19" s="55"/>
      <c r="N19" s="56"/>
      <c r="O19" s="57"/>
      <c r="P19" s="47"/>
      <c r="R19" s="63"/>
      <c r="S19" s="47"/>
      <c r="U19" s="63"/>
      <c r="V19" s="62"/>
      <c r="W19" s="60"/>
      <c r="X19" s="58">
        <f>ROUND((_11_A通院１０．５*(1+_11・A深夜)),0)+ROUND((_11_B通院１０．５＿１．０*(1+_11・B早朝)),0)+_11_C通院１０．５＿１．０＿０．５</f>
        <v>880</v>
      </c>
      <c r="Y19" s="59"/>
    </row>
    <row r="20" spans="1:25" ht="16.5" customHeight="1" x14ac:dyDescent="0.2">
      <c r="A20" s="44">
        <v>16</v>
      </c>
      <c r="B20" s="53">
        <v>3620</v>
      </c>
      <c r="C20" s="69" t="s">
        <v>1040</v>
      </c>
      <c r="D20" s="245"/>
      <c r="E20" s="246"/>
      <c r="F20" s="245"/>
      <c r="G20" s="246"/>
      <c r="H20" s="245"/>
      <c r="I20" s="246"/>
      <c r="J20" s="54"/>
      <c r="K20" s="49"/>
      <c r="L20" s="50"/>
      <c r="M20" s="55" t="s">
        <v>396</v>
      </c>
      <c r="N20" s="56" t="s">
        <v>397</v>
      </c>
      <c r="O20" s="57">
        <v>1</v>
      </c>
      <c r="P20" s="47"/>
      <c r="R20" s="63"/>
      <c r="S20" s="47"/>
      <c r="U20" s="63"/>
      <c r="V20" s="47"/>
      <c r="X20" s="58">
        <f>ROUND((ROUND((_11_A通院１０．５*_11・２人),0)*(1+_11・A深夜)),0)+ROUND((ROUND((_11_B通院１０．５＿１．０*_11・２人),0)*(1+_11・B早朝)),0)+ROUND((_11_C通院１０．５＿１．０＿０．５*_11・２人),0)</f>
        <v>880</v>
      </c>
      <c r="Y20" s="59"/>
    </row>
    <row r="21" spans="1:25" ht="16.5" customHeight="1" x14ac:dyDescent="0.2">
      <c r="A21" s="44">
        <v>16</v>
      </c>
      <c r="B21" s="53">
        <v>3621</v>
      </c>
      <c r="C21" s="69" t="s">
        <v>1041</v>
      </c>
      <c r="D21" s="245"/>
      <c r="E21" s="246"/>
      <c r="F21" s="245"/>
      <c r="G21" s="246"/>
      <c r="H21" s="245"/>
      <c r="I21" s="246"/>
      <c r="J21" s="241" t="s">
        <v>398</v>
      </c>
      <c r="K21" s="60" t="s">
        <v>397</v>
      </c>
      <c r="L21" s="61">
        <v>0.7</v>
      </c>
      <c r="M21" s="55"/>
      <c r="N21" s="56"/>
      <c r="O21" s="57"/>
      <c r="P21" s="47"/>
      <c r="R21" s="63"/>
      <c r="S21" s="47"/>
      <c r="U21" s="63"/>
      <c r="V21" s="47"/>
      <c r="X21" s="58">
        <f>ROUND((ROUND((_11_A通院１０．５*_11・基礎１),0)*(1+_11・A深夜)),0)+ROUND((ROUND((_11_B通院１０．５＿１．０*_11・基礎１),0)*(1+_11・B早朝)),0)+ROUND((_11_C通院１０．５＿１．０＿０．５*_11・基礎１),0)</f>
        <v>616</v>
      </c>
      <c r="Y21" s="59"/>
    </row>
    <row r="22" spans="1:25" ht="16.5" customHeight="1" x14ac:dyDescent="0.2">
      <c r="A22" s="44">
        <v>16</v>
      </c>
      <c r="B22" s="53">
        <v>3622</v>
      </c>
      <c r="C22" s="69" t="s">
        <v>1042</v>
      </c>
      <c r="D22" s="99">
        <f>_11_A通院１０．５</f>
        <v>256</v>
      </c>
      <c r="E22" s="25" t="s">
        <v>394</v>
      </c>
      <c r="F22" s="99">
        <f>_11_B通院１０．５＿１．０</f>
        <v>331</v>
      </c>
      <c r="G22" s="25" t="s">
        <v>394</v>
      </c>
      <c r="H22" s="99">
        <f>_11_C通院１０．５＿１．０＿０．５</f>
        <v>82</v>
      </c>
      <c r="I22" s="25" t="s">
        <v>394</v>
      </c>
      <c r="J22" s="242"/>
      <c r="K22" s="49"/>
      <c r="L22" s="50"/>
      <c r="M22" s="55" t="s">
        <v>396</v>
      </c>
      <c r="N22" s="56" t="s">
        <v>397</v>
      </c>
      <c r="O22" s="57">
        <v>1</v>
      </c>
      <c r="P22" s="47"/>
      <c r="R22" s="63"/>
      <c r="S22" s="47"/>
      <c r="U22" s="63"/>
      <c r="V22" s="54"/>
      <c r="W22" s="49"/>
      <c r="X22" s="58">
        <f>ROUND((ROUND((ROUND((_11_A通院１０．５*_11・基礎１),0)*_11・２人),0)*(1+_11・A深夜)),0)+ROUND((ROUND((ROUND((_11_B通院１０．５＿１．０*_11・基礎１),0)*_11・２人),0)*(1+_11・B早朝)),0)+ROUND((ROUND((_11_C通院１０．５＿１．０＿０．５*_11・基礎１),0)*_11・２人),0)</f>
        <v>616</v>
      </c>
      <c r="Y22" s="59"/>
    </row>
    <row r="23" spans="1:25" ht="16.5" customHeight="1" x14ac:dyDescent="0.2">
      <c r="A23" s="44">
        <v>16</v>
      </c>
      <c r="B23" s="53">
        <v>3623</v>
      </c>
      <c r="C23" s="69" t="s">
        <v>1043</v>
      </c>
      <c r="D23" s="103"/>
      <c r="E23" s="86"/>
      <c r="F23" s="116"/>
      <c r="G23" s="117"/>
      <c r="H23" s="243" t="s">
        <v>1976</v>
      </c>
      <c r="I23" s="244"/>
      <c r="J23" s="62"/>
      <c r="K23" s="60"/>
      <c r="L23" s="61"/>
      <c r="M23" s="55"/>
      <c r="N23" s="56"/>
      <c r="O23" s="57"/>
      <c r="P23" s="47"/>
      <c r="R23" s="63"/>
      <c r="S23" s="47"/>
      <c r="U23" s="63"/>
      <c r="V23" s="62"/>
      <c r="W23" s="60"/>
      <c r="X23" s="58">
        <f>ROUND((_11_A通院１０．５*(1+_11・A深夜)),0)+ROUND((_11_B通院１０．５＿１．０*(1+_11・B早朝)),0)+_11_C通院１０．５＿１．０＿１．０</f>
        <v>965</v>
      </c>
      <c r="Y23" s="59"/>
    </row>
    <row r="24" spans="1:25" ht="16.5" customHeight="1" x14ac:dyDescent="0.2">
      <c r="A24" s="44">
        <v>16</v>
      </c>
      <c r="B24" s="53">
        <v>3624</v>
      </c>
      <c r="C24" s="69" t="s">
        <v>1044</v>
      </c>
      <c r="D24" s="103"/>
      <c r="E24" s="86"/>
      <c r="F24" s="118"/>
      <c r="G24" s="117"/>
      <c r="H24" s="245"/>
      <c r="I24" s="246"/>
      <c r="J24" s="54"/>
      <c r="K24" s="49"/>
      <c r="L24" s="50"/>
      <c r="M24" s="55" t="s">
        <v>396</v>
      </c>
      <c r="N24" s="56" t="s">
        <v>397</v>
      </c>
      <c r="O24" s="57">
        <v>1</v>
      </c>
      <c r="P24" s="47"/>
      <c r="R24" s="63"/>
      <c r="S24" s="47"/>
      <c r="U24" s="63"/>
      <c r="V24" s="47"/>
      <c r="X24" s="58">
        <f>ROUND((ROUND((_11_A通院１０．５*_11・２人),0)*(1+_11・A深夜)),0)+ROUND((ROUND((_11_B通院１０．５＿１．０*_11・２人),0)*(1+_11・B早朝)),0)+ROUND((_11_C通院１０．５＿１．０＿１．０*_11・２人),0)</f>
        <v>965</v>
      </c>
      <c r="Y24" s="59"/>
    </row>
    <row r="25" spans="1:25" ht="16.5" customHeight="1" x14ac:dyDescent="0.2">
      <c r="A25" s="44">
        <v>16</v>
      </c>
      <c r="B25" s="53">
        <v>3625</v>
      </c>
      <c r="C25" s="69" t="s">
        <v>1045</v>
      </c>
      <c r="D25" s="103"/>
      <c r="E25" s="86"/>
      <c r="F25" s="118"/>
      <c r="G25" s="117"/>
      <c r="H25" s="245"/>
      <c r="I25" s="246"/>
      <c r="J25" s="241" t="s">
        <v>398</v>
      </c>
      <c r="K25" s="60" t="s">
        <v>397</v>
      </c>
      <c r="L25" s="61">
        <v>0.7</v>
      </c>
      <c r="M25" s="55"/>
      <c r="N25" s="56"/>
      <c r="O25" s="57"/>
      <c r="P25" s="47"/>
      <c r="R25" s="63"/>
      <c r="S25" s="47"/>
      <c r="U25" s="63"/>
      <c r="V25" s="47"/>
      <c r="X25" s="58">
        <f>ROUND((ROUND((_11_A通院１０．５*_11・基礎１),0)*(1+_11・A深夜)),0)+ROUND((ROUND((_11_B通院１０．５＿１．０*_11・基礎１),0)*(1+_11・B早朝)),0)+ROUND((_11_C通院１０．５＿１．０＿１．０*_11・基礎１),0)</f>
        <v>676</v>
      </c>
      <c r="Y25" s="59"/>
    </row>
    <row r="26" spans="1:25" ht="16.5" customHeight="1" x14ac:dyDescent="0.2">
      <c r="A26" s="44">
        <v>16</v>
      </c>
      <c r="B26" s="53">
        <v>3626</v>
      </c>
      <c r="C26" s="69" t="s">
        <v>1046</v>
      </c>
      <c r="D26" s="114"/>
      <c r="E26" s="63"/>
      <c r="F26" s="119"/>
      <c r="G26" s="120"/>
      <c r="H26" s="99">
        <f>_11_C通院１０．５＿１．０＿１．０</f>
        <v>167</v>
      </c>
      <c r="I26" s="25" t="s">
        <v>394</v>
      </c>
      <c r="J26" s="242"/>
      <c r="K26" s="49"/>
      <c r="L26" s="50"/>
      <c r="M26" s="55" t="s">
        <v>396</v>
      </c>
      <c r="N26" s="56" t="s">
        <v>397</v>
      </c>
      <c r="O26" s="57">
        <v>1</v>
      </c>
      <c r="P26" s="47"/>
      <c r="R26" s="63"/>
      <c r="S26" s="47"/>
      <c r="U26" s="63"/>
      <c r="V26" s="54"/>
      <c r="W26" s="49"/>
      <c r="X26" s="58">
        <f>ROUND((ROUND((ROUND((_11_A通院１０．５*_11・基礎１),0)*_11・２人),0)*(1+_11・A深夜)),0)+ROUND((ROUND((ROUND((_11_B通院１０．５＿１．０*_11・基礎１),0)*_11・２人),0)*(1+_11・B早朝)),0)+ROUND((ROUND((_11_C通院１０．５＿１．０＿１．０*_11・基礎１),0)*_11・２人),0)</f>
        <v>676</v>
      </c>
      <c r="Y26" s="59"/>
    </row>
    <row r="27" spans="1:25" ht="16.5" customHeight="1" x14ac:dyDescent="0.2">
      <c r="A27" s="44">
        <v>16</v>
      </c>
      <c r="B27" s="53">
        <v>3627</v>
      </c>
      <c r="C27" s="69" t="s">
        <v>1047</v>
      </c>
      <c r="D27" s="67"/>
      <c r="F27" s="67"/>
      <c r="H27" s="243" t="s">
        <v>1977</v>
      </c>
      <c r="I27" s="244"/>
      <c r="J27" s="62"/>
      <c r="K27" s="60"/>
      <c r="L27" s="61"/>
      <c r="M27" s="55"/>
      <c r="N27" s="56"/>
      <c r="O27" s="57"/>
      <c r="P27" s="47"/>
      <c r="R27" s="63"/>
      <c r="S27" s="47"/>
      <c r="U27" s="63"/>
      <c r="V27" s="62"/>
      <c r="W27" s="60"/>
      <c r="X27" s="58">
        <f>ROUND((_11_A通院１０．５*(1+_11・A深夜)),0)+ROUND((_11_B通院１０．５＿１．０*(1+_11・B早朝)),0)+_11_C通院１０．５＿１．０＿１．５</f>
        <v>1048</v>
      </c>
      <c r="Y27" s="59"/>
    </row>
    <row r="28" spans="1:25" ht="16.5" customHeight="1" x14ac:dyDescent="0.2">
      <c r="A28" s="44">
        <v>16</v>
      </c>
      <c r="B28" s="53">
        <v>3628</v>
      </c>
      <c r="C28" s="69" t="s">
        <v>1048</v>
      </c>
      <c r="D28" s="67"/>
      <c r="F28" s="67"/>
      <c r="H28" s="245"/>
      <c r="I28" s="246"/>
      <c r="J28" s="54"/>
      <c r="K28" s="49"/>
      <c r="L28" s="50"/>
      <c r="M28" s="55" t="s">
        <v>396</v>
      </c>
      <c r="N28" s="56" t="s">
        <v>397</v>
      </c>
      <c r="O28" s="57">
        <v>1</v>
      </c>
      <c r="P28" s="47"/>
      <c r="R28" s="63"/>
      <c r="S28" s="47"/>
      <c r="U28" s="63"/>
      <c r="V28" s="47"/>
      <c r="X28" s="58">
        <f>ROUND((ROUND((_11_A通院１０．５*_11・２人),0)*(1+_11・A深夜)),0)+ROUND((ROUND((_11_B通院１０．５＿１．０*_11・２人),0)*(1+_11・B早朝)),0)+ROUND((_11_C通院１０．５＿１．０＿１．５*_11・２人),0)</f>
        <v>1048</v>
      </c>
      <c r="Y28" s="59"/>
    </row>
    <row r="29" spans="1:25" ht="16.5" customHeight="1" x14ac:dyDescent="0.2">
      <c r="A29" s="44">
        <v>16</v>
      </c>
      <c r="B29" s="53">
        <v>3629</v>
      </c>
      <c r="C29" s="69" t="s">
        <v>1049</v>
      </c>
      <c r="D29" s="67"/>
      <c r="F29" s="67"/>
      <c r="H29" s="245"/>
      <c r="I29" s="246"/>
      <c r="J29" s="241" t="s">
        <v>398</v>
      </c>
      <c r="K29" s="60" t="s">
        <v>397</v>
      </c>
      <c r="L29" s="61">
        <v>0.7</v>
      </c>
      <c r="M29" s="55"/>
      <c r="N29" s="56"/>
      <c r="O29" s="57"/>
      <c r="P29" s="47"/>
      <c r="R29" s="63"/>
      <c r="S29" s="47"/>
      <c r="U29" s="63"/>
      <c r="V29" s="47"/>
      <c r="X29" s="58">
        <f>ROUND((ROUND((_11_A通院１０．５*_11・基礎１),0)*(1+_11・A深夜)),0)+ROUND((ROUND((_11_B通院１０．５＿１．０*_11・基礎１),0)*(1+_11・B早朝)),0)+ROUND((_11_C通院１０．５＿１．０＿１．５*_11・基礎１),0)</f>
        <v>734</v>
      </c>
      <c r="Y29" s="59"/>
    </row>
    <row r="30" spans="1:25" ht="16.5" customHeight="1" x14ac:dyDescent="0.2">
      <c r="A30" s="44">
        <v>16</v>
      </c>
      <c r="B30" s="53">
        <v>3630</v>
      </c>
      <c r="C30" s="69" t="s">
        <v>1050</v>
      </c>
      <c r="D30" s="67"/>
      <c r="F30" s="67"/>
      <c r="H30" s="99">
        <f>_11_C通院１０．５＿１．０＿１．５</f>
        <v>250</v>
      </c>
      <c r="I30" s="25" t="s">
        <v>394</v>
      </c>
      <c r="J30" s="242"/>
      <c r="K30" s="49"/>
      <c r="L30" s="50"/>
      <c r="M30" s="55" t="s">
        <v>396</v>
      </c>
      <c r="N30" s="56" t="s">
        <v>397</v>
      </c>
      <c r="O30" s="57">
        <v>1</v>
      </c>
      <c r="P30" s="47"/>
      <c r="R30" s="63"/>
      <c r="S30" s="47"/>
      <c r="U30" s="63"/>
      <c r="V30" s="54"/>
      <c r="W30" s="49"/>
      <c r="X30" s="58">
        <f>ROUND((ROUND((ROUND((_11_A通院１０．５*_11・基礎１),0)*_11・２人),0)*(1+_11・A深夜)),0)+ROUND((ROUND((ROUND((_11_B通院１０．５＿１．０*_11・基礎１),0)*_11・２人),0)*(1+_11・B早朝)),0)+ROUND((ROUND((_11_C通院１０．５＿１．０＿１．５*_11・基礎１),0)*_11・２人),0)</f>
        <v>734</v>
      </c>
      <c r="Y30" s="59"/>
    </row>
    <row r="31" spans="1:25" ht="16.5" customHeight="1" x14ac:dyDescent="0.2">
      <c r="A31" s="44">
        <v>16</v>
      </c>
      <c r="B31" s="53">
        <v>3631</v>
      </c>
      <c r="C31" s="69" t="s">
        <v>1051</v>
      </c>
      <c r="D31" s="243" t="s">
        <v>1994</v>
      </c>
      <c r="E31" s="244"/>
      <c r="F31" s="243" t="s">
        <v>1993</v>
      </c>
      <c r="G31" s="244"/>
      <c r="H31" s="243" t="s">
        <v>1975</v>
      </c>
      <c r="I31" s="244"/>
      <c r="J31" s="62"/>
      <c r="K31" s="60"/>
      <c r="L31" s="61"/>
      <c r="M31" s="55"/>
      <c r="N31" s="56"/>
      <c r="O31" s="57"/>
      <c r="P31" s="47"/>
      <c r="R31" s="63"/>
      <c r="S31" s="47"/>
      <c r="U31" s="63"/>
      <c r="V31" s="62"/>
      <c r="W31" s="60"/>
      <c r="X31" s="58">
        <f>ROUND((_11_A通院１１．０*(1+_11・A深夜)),0)+ROUND((_11_B通院１１．０＿１．０*(1+_11・B早朝)),0)+_11_C通院１１．０＿１．０＿０．５</f>
        <v>1022</v>
      </c>
      <c r="Y31" s="59"/>
    </row>
    <row r="32" spans="1:25" ht="16.5" customHeight="1" x14ac:dyDescent="0.2">
      <c r="A32" s="44">
        <v>16</v>
      </c>
      <c r="B32" s="53">
        <v>3632</v>
      </c>
      <c r="C32" s="69" t="s">
        <v>1052</v>
      </c>
      <c r="D32" s="245"/>
      <c r="E32" s="246"/>
      <c r="F32" s="245"/>
      <c r="G32" s="246"/>
      <c r="H32" s="245"/>
      <c r="I32" s="246"/>
      <c r="J32" s="54"/>
      <c r="K32" s="49"/>
      <c r="L32" s="50"/>
      <c r="M32" s="55" t="s">
        <v>396</v>
      </c>
      <c r="N32" s="56" t="s">
        <v>397</v>
      </c>
      <c r="O32" s="57">
        <v>1</v>
      </c>
      <c r="P32" s="47"/>
      <c r="R32" s="63"/>
      <c r="S32" s="47"/>
      <c r="U32" s="63"/>
      <c r="V32" s="47"/>
      <c r="X32" s="58">
        <f>ROUND((ROUND((_11_A通院１１．０*_11・２人),0)*(1+_11・A深夜)),0)+ROUND((ROUND((_11_B通院１１．０＿１．０*_11・２人),0)*(1+_11・B早朝)),0)+ROUND((_11_C通院１１．０＿１．０＿０．５*_11・２人),0)</f>
        <v>1022</v>
      </c>
      <c r="Y32" s="59"/>
    </row>
    <row r="33" spans="1:25" ht="16.5" customHeight="1" x14ac:dyDescent="0.2">
      <c r="A33" s="44">
        <v>16</v>
      </c>
      <c r="B33" s="53">
        <v>3633</v>
      </c>
      <c r="C33" s="69" t="s">
        <v>1053</v>
      </c>
      <c r="D33" s="245"/>
      <c r="E33" s="246"/>
      <c r="F33" s="245"/>
      <c r="G33" s="246"/>
      <c r="H33" s="245"/>
      <c r="I33" s="246"/>
      <c r="J33" s="241" t="s">
        <v>398</v>
      </c>
      <c r="K33" s="60" t="s">
        <v>397</v>
      </c>
      <c r="L33" s="61">
        <v>0.7</v>
      </c>
      <c r="M33" s="55"/>
      <c r="N33" s="56"/>
      <c r="O33" s="57"/>
      <c r="P33" s="47"/>
      <c r="R33" s="63"/>
      <c r="S33" s="47"/>
      <c r="U33" s="63"/>
      <c r="V33" s="47"/>
      <c r="X33" s="58">
        <f>ROUND((ROUND((_11_A通院１１．０*_11・基礎１),0)*(1+_11・A深夜)),0)+ROUND((ROUND((_11_B通院１１．０＿１．０*_11・基礎１),0)*(1+_11・B早朝)),0)+ROUND((_11_C通院１１．０＿１．０＿０．５*_11・基礎１),0)</f>
        <v>718</v>
      </c>
      <c r="Y33" s="59"/>
    </row>
    <row r="34" spans="1:25" ht="16.5" customHeight="1" x14ac:dyDescent="0.2">
      <c r="A34" s="44">
        <v>16</v>
      </c>
      <c r="B34" s="53">
        <v>3634</v>
      </c>
      <c r="C34" s="69" t="s">
        <v>1054</v>
      </c>
      <c r="D34" s="99">
        <f>_11_A通院１１．０</f>
        <v>404</v>
      </c>
      <c r="E34" s="25" t="s">
        <v>394</v>
      </c>
      <c r="F34" s="99">
        <f>_11_B通院１１．０＿１．０</f>
        <v>265</v>
      </c>
      <c r="G34" s="25" t="s">
        <v>394</v>
      </c>
      <c r="H34" s="99">
        <f>_11_C通院１１．０＿１．０＿０．５</f>
        <v>85</v>
      </c>
      <c r="I34" s="25" t="s">
        <v>394</v>
      </c>
      <c r="J34" s="242"/>
      <c r="K34" s="49"/>
      <c r="L34" s="50"/>
      <c r="M34" s="55" t="s">
        <v>396</v>
      </c>
      <c r="N34" s="56" t="s">
        <v>397</v>
      </c>
      <c r="O34" s="57">
        <v>1</v>
      </c>
      <c r="P34" s="47"/>
      <c r="R34" s="63"/>
      <c r="S34" s="47"/>
      <c r="U34" s="63"/>
      <c r="V34" s="54"/>
      <c r="W34" s="49"/>
      <c r="X34" s="58">
        <f>ROUND((ROUND((ROUND((_11_A通院１１．０*_11・基礎１),0)*_11・２人),0)*(1+_11・A深夜)),0)+ROUND((ROUND((ROUND((_11_B通院１１．０＿１．０*_11・基礎１),0)*_11・２人),0)*(1+_11・B早朝)),0)+ROUND((ROUND((_11_C通院１１．０＿１．０＿０．５*_11・基礎１),0)*_11・２人),0)</f>
        <v>718</v>
      </c>
      <c r="Y34" s="59"/>
    </row>
    <row r="35" spans="1:25" ht="16.5" customHeight="1" x14ac:dyDescent="0.2">
      <c r="A35" s="44">
        <v>16</v>
      </c>
      <c r="B35" s="53">
        <v>3635</v>
      </c>
      <c r="C35" s="69" t="s">
        <v>1055</v>
      </c>
      <c r="D35" s="67"/>
      <c r="F35" s="67"/>
      <c r="H35" s="243" t="s">
        <v>1976</v>
      </c>
      <c r="I35" s="244"/>
      <c r="J35" s="62"/>
      <c r="K35" s="60"/>
      <c r="L35" s="61"/>
      <c r="M35" s="55"/>
      <c r="N35" s="56"/>
      <c r="O35" s="57"/>
      <c r="P35" s="47"/>
      <c r="R35" s="63"/>
      <c r="S35" s="47"/>
      <c r="U35" s="63"/>
      <c r="V35" s="62"/>
      <c r="W35" s="60"/>
      <c r="X35" s="58">
        <f>ROUND((_11_A通院１１．０*(1+_11・A深夜)),0)+ROUND((_11_B通院１１．０＿１．０*(1+_11・B早朝)),0)+_11_C通院１１．０＿１．０＿１．０</f>
        <v>1105</v>
      </c>
      <c r="Y35" s="59"/>
    </row>
    <row r="36" spans="1:25" ht="16.5" customHeight="1" x14ac:dyDescent="0.2">
      <c r="A36" s="44">
        <v>16</v>
      </c>
      <c r="B36" s="53">
        <v>3636</v>
      </c>
      <c r="C36" s="69" t="s">
        <v>1056</v>
      </c>
      <c r="D36" s="67"/>
      <c r="F36" s="67"/>
      <c r="H36" s="245"/>
      <c r="I36" s="246"/>
      <c r="J36" s="54"/>
      <c r="K36" s="49"/>
      <c r="L36" s="50"/>
      <c r="M36" s="55" t="s">
        <v>396</v>
      </c>
      <c r="N36" s="56" t="s">
        <v>397</v>
      </c>
      <c r="O36" s="57">
        <v>1</v>
      </c>
      <c r="P36" s="47"/>
      <c r="R36" s="63"/>
      <c r="S36" s="47"/>
      <c r="U36" s="63"/>
      <c r="V36" s="47"/>
      <c r="X36" s="58">
        <f>ROUND((ROUND((_11_A通院１１．０*_11・２人),0)*(1+_11・A深夜)),0)+ROUND((ROUND((_11_B通院１１．０＿１．０*_11・２人),0)*(1+_11・B早朝)),0)+ROUND((_11_C通院１１．０＿１．０＿１．０*_11・２人),0)</f>
        <v>1105</v>
      </c>
      <c r="Y36" s="59"/>
    </row>
    <row r="37" spans="1:25" ht="16.5" customHeight="1" x14ac:dyDescent="0.2">
      <c r="A37" s="44">
        <v>16</v>
      </c>
      <c r="B37" s="53">
        <v>3637</v>
      </c>
      <c r="C37" s="69" t="s">
        <v>1057</v>
      </c>
      <c r="D37" s="67"/>
      <c r="F37" s="67"/>
      <c r="H37" s="245"/>
      <c r="I37" s="246"/>
      <c r="J37" s="241" t="s">
        <v>398</v>
      </c>
      <c r="K37" s="60" t="s">
        <v>397</v>
      </c>
      <c r="L37" s="61">
        <v>0.7</v>
      </c>
      <c r="M37" s="55"/>
      <c r="N37" s="56"/>
      <c r="O37" s="57"/>
      <c r="P37" s="47"/>
      <c r="R37" s="63"/>
      <c r="S37" s="47"/>
      <c r="U37" s="63"/>
      <c r="V37" s="47"/>
      <c r="X37" s="58">
        <f>ROUND((ROUND((_11_A通院１１．０*_11・基礎１),0)*(1+_11・A深夜)),0)+ROUND((ROUND((_11_B通院１１．０＿１．０*_11・基礎１),0)*(1+_11・B早朝)),0)+ROUND((_11_C通院１１．０＿１．０＿１．０*_11・基礎１),0)</f>
        <v>776</v>
      </c>
      <c r="Y37" s="59"/>
    </row>
    <row r="38" spans="1:25" ht="16.5" customHeight="1" x14ac:dyDescent="0.2">
      <c r="A38" s="44">
        <v>16</v>
      </c>
      <c r="B38" s="53">
        <v>3638</v>
      </c>
      <c r="C38" s="69" t="s">
        <v>1058</v>
      </c>
      <c r="D38" s="67"/>
      <c r="F38" s="67"/>
      <c r="H38" s="99">
        <f>_11_C通院１１．０＿１．０＿１．０</f>
        <v>168</v>
      </c>
      <c r="I38" s="25" t="s">
        <v>394</v>
      </c>
      <c r="J38" s="242"/>
      <c r="K38" s="49"/>
      <c r="L38" s="50"/>
      <c r="M38" s="55" t="s">
        <v>396</v>
      </c>
      <c r="N38" s="56" t="s">
        <v>397</v>
      </c>
      <c r="O38" s="57">
        <v>1</v>
      </c>
      <c r="P38" s="47"/>
      <c r="R38" s="63"/>
      <c r="S38" s="47"/>
      <c r="U38" s="63"/>
      <c r="V38" s="54"/>
      <c r="W38" s="49"/>
      <c r="X38" s="58">
        <f>ROUND((ROUND((ROUND((_11_A通院１１．０*_11・基礎１),0)*_11・２人),0)*(1+_11・A深夜)),0)+ROUND((ROUND((ROUND((_11_B通院１１．０＿１．０*_11・基礎１),0)*_11・２人),0)*(1+_11・B早朝)),0)+ROUND((ROUND((_11_C通院１１．０＿１．０＿１．０*_11・基礎１),0)*_11・２人),0)</f>
        <v>776</v>
      </c>
      <c r="Y38" s="59"/>
    </row>
    <row r="39" spans="1:25" ht="16.5" customHeight="1" x14ac:dyDescent="0.2">
      <c r="A39" s="44">
        <v>16</v>
      </c>
      <c r="B39" s="53">
        <v>3639</v>
      </c>
      <c r="C39" s="69" t="s">
        <v>1059</v>
      </c>
      <c r="D39" s="243" t="s">
        <v>1995</v>
      </c>
      <c r="E39" s="244"/>
      <c r="F39" s="243" t="s">
        <v>1993</v>
      </c>
      <c r="G39" s="244"/>
      <c r="H39" s="243" t="s">
        <v>1975</v>
      </c>
      <c r="I39" s="244"/>
      <c r="J39" s="62"/>
      <c r="K39" s="60"/>
      <c r="L39" s="61"/>
      <c r="M39" s="55"/>
      <c r="N39" s="56"/>
      <c r="O39" s="57"/>
      <c r="P39" s="47"/>
      <c r="R39" s="63"/>
      <c r="S39" s="47"/>
      <c r="U39" s="63"/>
      <c r="V39" s="62"/>
      <c r="W39" s="60"/>
      <c r="X39" s="58">
        <f>ROUND((_11_A通院１１．５*(1+_11・A深夜)),0)+ROUND((_11_B通院１１．５＿１．０*(1+_11・B早朝)),0)+_11_C通院１１．５＿１．０＿０．５</f>
        <v>1173</v>
      </c>
      <c r="Y39" s="59"/>
    </row>
    <row r="40" spans="1:25" ht="16.5" customHeight="1" x14ac:dyDescent="0.2">
      <c r="A40" s="44">
        <v>16</v>
      </c>
      <c r="B40" s="53">
        <v>3640</v>
      </c>
      <c r="C40" s="69" t="s">
        <v>1060</v>
      </c>
      <c r="D40" s="245"/>
      <c r="E40" s="246"/>
      <c r="F40" s="245"/>
      <c r="G40" s="246"/>
      <c r="H40" s="245"/>
      <c r="I40" s="246"/>
      <c r="J40" s="54"/>
      <c r="K40" s="49"/>
      <c r="L40" s="50"/>
      <c r="M40" s="55" t="s">
        <v>396</v>
      </c>
      <c r="N40" s="56" t="s">
        <v>397</v>
      </c>
      <c r="O40" s="57">
        <v>1</v>
      </c>
      <c r="P40" s="47"/>
      <c r="R40" s="63"/>
      <c r="S40" s="47"/>
      <c r="U40" s="63"/>
      <c r="V40" s="47"/>
      <c r="X40" s="58">
        <f>ROUND((ROUND((_11_A通院１１．５*_11・２人),0)*(1+_11・A深夜)),0)+ROUND((ROUND((_11_B通院１１．５＿１．０*_11・２人),0)*(1+_11・B早朝)),0)+ROUND((_11_C通院１１．５＿１．０＿０．５*_11・２人),0)</f>
        <v>1173</v>
      </c>
      <c r="Y40" s="59"/>
    </row>
    <row r="41" spans="1:25" ht="16.5" customHeight="1" x14ac:dyDescent="0.2">
      <c r="A41" s="44">
        <v>16</v>
      </c>
      <c r="B41" s="53">
        <v>3641</v>
      </c>
      <c r="C41" s="69" t="s">
        <v>1061</v>
      </c>
      <c r="D41" s="245"/>
      <c r="E41" s="246"/>
      <c r="F41" s="245"/>
      <c r="G41" s="246"/>
      <c r="H41" s="245"/>
      <c r="I41" s="246"/>
      <c r="J41" s="241" t="s">
        <v>398</v>
      </c>
      <c r="K41" s="60" t="s">
        <v>397</v>
      </c>
      <c r="L41" s="61">
        <v>0.7</v>
      </c>
      <c r="M41" s="55"/>
      <c r="N41" s="56"/>
      <c r="O41" s="57"/>
      <c r="P41" s="47"/>
      <c r="R41" s="63"/>
      <c r="S41" s="47"/>
      <c r="U41" s="63"/>
      <c r="V41" s="47"/>
      <c r="X41" s="58">
        <f>ROUND((ROUND((_11_A通院１１．５*_11・基礎１),0)*(1+_11・A深夜)),0)+ROUND((ROUND((_11_B通院１１．５＿１．０*_11・基礎１),0)*(1+_11・B早朝)),0)+ROUND((_11_C通院１１．５＿１．０＿０．５*_11・基礎１),0)</f>
        <v>821</v>
      </c>
      <c r="Y41" s="59"/>
    </row>
    <row r="42" spans="1:25" ht="16.5" customHeight="1" x14ac:dyDescent="0.2">
      <c r="A42" s="44">
        <v>16</v>
      </c>
      <c r="B42" s="53">
        <v>3642</v>
      </c>
      <c r="C42" s="69" t="s">
        <v>1062</v>
      </c>
      <c r="D42" s="99">
        <f>_11_A通院１１．５</f>
        <v>587</v>
      </c>
      <c r="E42" s="25" t="s">
        <v>394</v>
      </c>
      <c r="F42" s="99">
        <f>_11_B通院１１．５＿１．０</f>
        <v>167</v>
      </c>
      <c r="G42" s="25" t="s">
        <v>394</v>
      </c>
      <c r="H42" s="99">
        <f>_11_C通院１１．５＿１．０＿０．５</f>
        <v>83</v>
      </c>
      <c r="I42" s="25" t="s">
        <v>394</v>
      </c>
      <c r="J42" s="242"/>
      <c r="K42" s="49"/>
      <c r="L42" s="50"/>
      <c r="M42" s="55" t="s">
        <v>396</v>
      </c>
      <c r="N42" s="56" t="s">
        <v>397</v>
      </c>
      <c r="O42" s="57">
        <v>1</v>
      </c>
      <c r="P42" s="47"/>
      <c r="R42" s="63"/>
      <c r="S42" s="47"/>
      <c r="U42" s="63"/>
      <c r="V42" s="54"/>
      <c r="W42" s="49"/>
      <c r="X42" s="58">
        <f>ROUND((ROUND((ROUND((_11_A通院１１．５*_11・基礎１),0)*_11・２人),0)*(1+_11・A深夜)),0)+ROUND((ROUND((ROUND((_11_B通院１１．５＿１．０*_11・基礎１),0)*_11・２人),0)*(1+_11・B早朝)),0)+ROUND((ROUND((_11_C通院１１．５＿１．０＿０．５*_11・基礎１),0)*_11・２人),0)</f>
        <v>821</v>
      </c>
      <c r="Y42" s="59"/>
    </row>
    <row r="43" spans="1:25" ht="16.5" customHeight="1" x14ac:dyDescent="0.2">
      <c r="A43" s="44">
        <v>16</v>
      </c>
      <c r="B43" s="53">
        <v>3643</v>
      </c>
      <c r="C43" s="69" t="s">
        <v>1063</v>
      </c>
      <c r="D43" s="243" t="s">
        <v>1996</v>
      </c>
      <c r="E43" s="244"/>
      <c r="F43" s="243" t="s">
        <v>1970</v>
      </c>
      <c r="G43" s="244"/>
      <c r="H43" s="243" t="s">
        <v>1975</v>
      </c>
      <c r="I43" s="244"/>
      <c r="J43" s="62"/>
      <c r="K43" s="60"/>
      <c r="L43" s="61"/>
      <c r="M43" s="55"/>
      <c r="N43" s="56"/>
      <c r="O43" s="57"/>
      <c r="P43" s="67"/>
      <c r="Q43" s="176"/>
      <c r="R43" s="63"/>
      <c r="S43" s="80"/>
      <c r="T43" s="176"/>
      <c r="U43" s="63"/>
      <c r="V43" s="62"/>
      <c r="W43" s="60"/>
      <c r="X43" s="58">
        <f>ROUND((_11_A通院１０．５*(1+_11・A深夜)),0)+ROUND((_11_B通院１０．５＿０．５*(1+_11・B早朝)),0)+_11_C通院１０．５＿０．５＿０．５</f>
        <v>752</v>
      </c>
      <c r="Y43" s="52"/>
    </row>
    <row r="44" spans="1:25" ht="16.5" customHeight="1" x14ac:dyDescent="0.2">
      <c r="A44" s="44">
        <v>16</v>
      </c>
      <c r="B44" s="53">
        <v>3644</v>
      </c>
      <c r="C44" s="69" t="s">
        <v>1064</v>
      </c>
      <c r="D44" s="245"/>
      <c r="E44" s="246"/>
      <c r="F44" s="245"/>
      <c r="G44" s="246"/>
      <c r="H44" s="245"/>
      <c r="I44" s="246"/>
      <c r="J44" s="54"/>
      <c r="K44" s="49"/>
      <c r="L44" s="50"/>
      <c r="M44" s="55" t="s">
        <v>396</v>
      </c>
      <c r="N44" s="56" t="s">
        <v>397</v>
      </c>
      <c r="O44" s="57">
        <v>1</v>
      </c>
      <c r="P44" s="47"/>
      <c r="Q44" s="176"/>
      <c r="R44" s="248"/>
      <c r="S44" s="47"/>
      <c r="T44" s="176"/>
      <c r="U44" s="248"/>
      <c r="V44" s="47"/>
      <c r="X44" s="58">
        <f>ROUND((ROUND((_11_A通院１０．５*_11・２人),0)*(1+_11・A深夜)),0)+ROUND((ROUND((_11_B通院１０．５＿０．５*_11・２人),0)*(1+_11・B早朝)),0)+ROUND((_11_C通院１０．５＿０．５＿０．５*_11・２人),0)</f>
        <v>752</v>
      </c>
      <c r="Y44" s="59"/>
    </row>
    <row r="45" spans="1:25" ht="16.5" customHeight="1" x14ac:dyDescent="0.2">
      <c r="A45" s="44">
        <v>16</v>
      </c>
      <c r="B45" s="53">
        <v>3645</v>
      </c>
      <c r="C45" s="69" t="s">
        <v>1065</v>
      </c>
      <c r="D45" s="245"/>
      <c r="E45" s="246"/>
      <c r="F45" s="245"/>
      <c r="G45" s="246"/>
      <c r="H45" s="245"/>
      <c r="I45" s="246"/>
      <c r="J45" s="241" t="s">
        <v>398</v>
      </c>
      <c r="K45" s="60" t="s">
        <v>397</v>
      </c>
      <c r="L45" s="61">
        <v>0.7</v>
      </c>
      <c r="M45" s="55"/>
      <c r="N45" s="56"/>
      <c r="O45" s="57"/>
      <c r="P45" s="47"/>
      <c r="Q45" s="176"/>
      <c r="R45" s="248"/>
      <c r="S45" s="47"/>
      <c r="T45" s="176"/>
      <c r="U45" s="248"/>
      <c r="V45" s="47"/>
      <c r="X45" s="58">
        <f>ROUND((ROUND((_11_A通院１０．５*_11・基礎１),0)*(1+_11・A深夜)),0)+ROUND((ROUND((_11_B通院１０．５＿０．５*_11・基礎１),0)*(1+_11・B早朝)),0)+ROUND((_11_C通院１０．５＿０．５＿０．５*_11・基礎１),0)</f>
        <v>527</v>
      </c>
      <c r="Y45" s="59"/>
    </row>
    <row r="46" spans="1:25" ht="16.5" customHeight="1" x14ac:dyDescent="0.2">
      <c r="A46" s="44">
        <v>16</v>
      </c>
      <c r="B46" s="53">
        <v>3646</v>
      </c>
      <c r="C46" s="69" t="s">
        <v>1066</v>
      </c>
      <c r="D46" s="99">
        <f>_11_A通院１０．５</f>
        <v>256</v>
      </c>
      <c r="E46" s="25" t="s">
        <v>394</v>
      </c>
      <c r="F46" s="99">
        <f>_11_B通院１０．５＿０．５</f>
        <v>148</v>
      </c>
      <c r="G46" s="25" t="s">
        <v>394</v>
      </c>
      <c r="H46" s="99">
        <f>_11_C通院１０．５＿０．５＿０．５</f>
        <v>183</v>
      </c>
      <c r="I46" s="25" t="s">
        <v>394</v>
      </c>
      <c r="J46" s="242"/>
      <c r="K46" s="49"/>
      <c r="L46" s="50"/>
      <c r="M46" s="55" t="s">
        <v>396</v>
      </c>
      <c r="N46" s="56" t="s">
        <v>397</v>
      </c>
      <c r="O46" s="57">
        <v>1</v>
      </c>
      <c r="P46" s="47"/>
      <c r="R46" s="63"/>
      <c r="S46" s="47"/>
      <c r="U46" s="63"/>
      <c r="V46" s="54"/>
      <c r="W46" s="49"/>
      <c r="X46" s="58">
        <f>ROUND((ROUND((ROUND((_11_A通院１０．５*_11・基礎１),0)*_11・２人),0)*(1+_11・A深夜)),0)+ROUND((ROUND((ROUND((_11_B通院１０．５＿０．５*_11・基礎１),0)*_11・２人),0)*(1+_11・B早朝)),0)+ROUND((ROUND((_11_C通院１０．５＿０．５＿０．５*_11・基礎１),0)*_11・２人),0)</f>
        <v>527</v>
      </c>
      <c r="Y46" s="59"/>
    </row>
    <row r="47" spans="1:25" ht="16.5" customHeight="1" x14ac:dyDescent="0.2">
      <c r="A47" s="44">
        <v>16</v>
      </c>
      <c r="B47" s="53">
        <v>3647</v>
      </c>
      <c r="C47" s="69" t="s">
        <v>1067</v>
      </c>
      <c r="D47" s="67"/>
      <c r="F47" s="67"/>
      <c r="H47" s="243" t="s">
        <v>1976</v>
      </c>
      <c r="I47" s="244"/>
      <c r="J47" s="62"/>
      <c r="K47" s="60"/>
      <c r="L47" s="61"/>
      <c r="M47" s="55"/>
      <c r="N47" s="56"/>
      <c r="O47" s="57"/>
      <c r="P47" s="47"/>
      <c r="R47" s="63"/>
      <c r="S47" s="47"/>
      <c r="U47" s="63"/>
      <c r="V47" s="62"/>
      <c r="W47" s="60"/>
      <c r="X47" s="58">
        <f>ROUND((_11_A通院１０．５*(1+_11・A深夜)),0)+ROUND((_11_B通院１０．５＿０．５*(1+_11・B早朝)),0)+_11_C通院１０．５＿０．５＿１．０</f>
        <v>834</v>
      </c>
      <c r="Y47" s="59"/>
    </row>
    <row r="48" spans="1:25" ht="16.5" customHeight="1" x14ac:dyDescent="0.2">
      <c r="A48" s="44">
        <v>16</v>
      </c>
      <c r="B48" s="53">
        <v>3648</v>
      </c>
      <c r="C48" s="69" t="s">
        <v>1068</v>
      </c>
      <c r="D48" s="67"/>
      <c r="F48" s="67"/>
      <c r="H48" s="245"/>
      <c r="I48" s="246"/>
      <c r="J48" s="54"/>
      <c r="K48" s="49"/>
      <c r="L48" s="50"/>
      <c r="M48" s="55" t="s">
        <v>396</v>
      </c>
      <c r="N48" s="56" t="s">
        <v>397</v>
      </c>
      <c r="O48" s="57">
        <v>1</v>
      </c>
      <c r="P48" s="47"/>
      <c r="R48" s="63"/>
      <c r="S48" s="47"/>
      <c r="U48" s="63"/>
      <c r="V48" s="47"/>
      <c r="X48" s="58">
        <f>ROUND((ROUND((_11_A通院１０．５*_11・２人),0)*(1+_11・A深夜)),0)+ROUND((ROUND((_11_B通院１０．５＿０．５*_11・２人),0)*(1+_11・B早朝)),0)+ROUND((_11_C通院１０．５＿０．５＿１．０*_11・２人),0)</f>
        <v>834</v>
      </c>
      <c r="Y48" s="59"/>
    </row>
    <row r="49" spans="1:25" ht="16.5" customHeight="1" x14ac:dyDescent="0.2">
      <c r="A49" s="44">
        <v>16</v>
      </c>
      <c r="B49" s="53">
        <v>3649</v>
      </c>
      <c r="C49" s="69" t="s">
        <v>1069</v>
      </c>
      <c r="D49" s="67"/>
      <c r="F49" s="67"/>
      <c r="H49" s="245"/>
      <c r="I49" s="246"/>
      <c r="J49" s="241" t="s">
        <v>398</v>
      </c>
      <c r="K49" s="60" t="s">
        <v>397</v>
      </c>
      <c r="L49" s="61">
        <v>0.7</v>
      </c>
      <c r="M49" s="55"/>
      <c r="N49" s="56"/>
      <c r="O49" s="57"/>
      <c r="P49" s="47"/>
      <c r="R49" s="63"/>
      <c r="S49" s="47"/>
      <c r="U49" s="63"/>
      <c r="V49" s="47"/>
      <c r="X49" s="58">
        <f>ROUND((ROUND((_11_A通院１０．５*_11・基礎１),0)*(1+_11・A深夜)),0)+ROUND((ROUND((_11_B通院１０．５＿０．５*_11・基礎１),0)*(1+_11・B早朝)),0)+ROUND((_11_C通院１０．５＿０．５＿１．０*_11・基礎１),0)</f>
        <v>585</v>
      </c>
      <c r="Y49" s="59"/>
    </row>
    <row r="50" spans="1:25" ht="16.5" customHeight="1" x14ac:dyDescent="0.2">
      <c r="A50" s="44">
        <v>16</v>
      </c>
      <c r="B50" s="53">
        <v>3650</v>
      </c>
      <c r="C50" s="69" t="s">
        <v>1070</v>
      </c>
      <c r="D50" s="67"/>
      <c r="F50" s="67"/>
      <c r="H50" s="99">
        <f>_11_C通院１０．５＿０．５＿１．０</f>
        <v>265</v>
      </c>
      <c r="I50" s="25" t="s">
        <v>394</v>
      </c>
      <c r="J50" s="242"/>
      <c r="K50" s="49"/>
      <c r="L50" s="50"/>
      <c r="M50" s="55" t="s">
        <v>396</v>
      </c>
      <c r="N50" s="56" t="s">
        <v>397</v>
      </c>
      <c r="O50" s="57">
        <v>1</v>
      </c>
      <c r="P50" s="47"/>
      <c r="R50" s="63"/>
      <c r="S50" s="47"/>
      <c r="U50" s="63"/>
      <c r="V50" s="54"/>
      <c r="W50" s="49"/>
      <c r="X50" s="58">
        <f>ROUND((ROUND((ROUND((_11_A通院１０．５*_11・基礎１),0)*_11・２人),0)*(1+_11・A深夜)),0)+ROUND((ROUND((ROUND((_11_B通院１０．５＿０．５*_11・基礎１),0)*_11・２人),0)*(1+_11・B早朝)),0)+ROUND((ROUND((_11_C通院１０．５＿０．５＿１．０*_11・基礎１),0)*_11・２人),0)</f>
        <v>585</v>
      </c>
      <c r="Y50" s="59"/>
    </row>
    <row r="51" spans="1:25" ht="16.5" customHeight="1" x14ac:dyDescent="0.2">
      <c r="A51" s="44">
        <v>16</v>
      </c>
      <c r="B51" s="53">
        <v>3651</v>
      </c>
      <c r="C51" s="69" t="s">
        <v>1071</v>
      </c>
      <c r="D51" s="67"/>
      <c r="F51" s="67"/>
      <c r="H51" s="243" t="s">
        <v>1977</v>
      </c>
      <c r="I51" s="244"/>
      <c r="J51" s="62"/>
      <c r="K51" s="60"/>
      <c r="L51" s="61"/>
      <c r="M51" s="55"/>
      <c r="N51" s="56"/>
      <c r="O51" s="57"/>
      <c r="P51" s="47"/>
      <c r="R51" s="63"/>
      <c r="S51" s="47"/>
      <c r="U51" s="63"/>
      <c r="V51" s="62"/>
      <c r="W51" s="60"/>
      <c r="X51" s="58">
        <f>ROUND((_11_A通院１０．５*(1+_11・A深夜)),0)+ROUND((_11_B通院１０．５＿０．５*(1+_11・B早朝)),0)+_11_C通院１０．５＿０．５＿１．５</f>
        <v>919</v>
      </c>
      <c r="Y51" s="59"/>
    </row>
    <row r="52" spans="1:25" ht="16.5" customHeight="1" x14ac:dyDescent="0.2">
      <c r="A52" s="44">
        <v>16</v>
      </c>
      <c r="B52" s="53">
        <v>3652</v>
      </c>
      <c r="C52" s="69" t="s">
        <v>1072</v>
      </c>
      <c r="D52" s="67"/>
      <c r="F52" s="67"/>
      <c r="H52" s="245"/>
      <c r="I52" s="246"/>
      <c r="J52" s="54"/>
      <c r="K52" s="49"/>
      <c r="L52" s="50"/>
      <c r="M52" s="55" t="s">
        <v>396</v>
      </c>
      <c r="N52" s="56" t="s">
        <v>397</v>
      </c>
      <c r="O52" s="57">
        <v>1</v>
      </c>
      <c r="P52" s="47"/>
      <c r="R52" s="63"/>
      <c r="S52" s="47"/>
      <c r="U52" s="63"/>
      <c r="V52" s="47"/>
      <c r="X52" s="58">
        <f>ROUND((ROUND((_11_A通院１０．５*_11・２人),0)*(1+_11・A深夜)),0)+ROUND((ROUND((_11_B通院１０．５＿０．５*_11・２人),0)*(1+_11・B早朝)),0)+ROUND((_11_C通院１０．５＿０．５＿１．５*_11・２人),0)</f>
        <v>919</v>
      </c>
      <c r="Y52" s="59"/>
    </row>
    <row r="53" spans="1:25" ht="16.5" customHeight="1" x14ac:dyDescent="0.2">
      <c r="A53" s="44">
        <v>16</v>
      </c>
      <c r="B53" s="53">
        <v>3653</v>
      </c>
      <c r="C53" s="69" t="s">
        <v>1073</v>
      </c>
      <c r="D53" s="67"/>
      <c r="F53" s="67"/>
      <c r="H53" s="245"/>
      <c r="I53" s="246"/>
      <c r="J53" s="241" t="s">
        <v>398</v>
      </c>
      <c r="K53" s="60" t="s">
        <v>397</v>
      </c>
      <c r="L53" s="61">
        <v>0.7</v>
      </c>
      <c r="M53" s="55"/>
      <c r="N53" s="56"/>
      <c r="O53" s="57"/>
      <c r="P53" s="47"/>
      <c r="R53" s="63"/>
      <c r="S53" s="47"/>
      <c r="U53" s="63"/>
      <c r="V53" s="47"/>
      <c r="X53" s="58">
        <f>ROUND((ROUND((_11_A通院１０．５*_11・基礎１),0)*(1+_11・A深夜)),0)+ROUND((ROUND((_11_B通院１０．５＿０．５*_11・基礎１),0)*(1+_11・B早朝)),0)+ROUND((_11_C通院１０．５＿０．５＿１．５*_11・基礎１),0)</f>
        <v>644</v>
      </c>
      <c r="Y53" s="59"/>
    </row>
    <row r="54" spans="1:25" ht="16.5" customHeight="1" x14ac:dyDescent="0.2">
      <c r="A54" s="44">
        <v>16</v>
      </c>
      <c r="B54" s="53">
        <v>3654</v>
      </c>
      <c r="C54" s="69" t="s">
        <v>1074</v>
      </c>
      <c r="D54" s="67"/>
      <c r="F54" s="67"/>
      <c r="H54" s="99">
        <f>_11_C通院１０．５＿０．５＿１．５</f>
        <v>350</v>
      </c>
      <c r="I54" s="25" t="s">
        <v>394</v>
      </c>
      <c r="J54" s="242"/>
      <c r="K54" s="49"/>
      <c r="L54" s="50"/>
      <c r="M54" s="55" t="s">
        <v>396</v>
      </c>
      <c r="N54" s="56" t="s">
        <v>397</v>
      </c>
      <c r="O54" s="57">
        <v>1</v>
      </c>
      <c r="P54" s="47"/>
      <c r="R54" s="63"/>
      <c r="S54" s="47"/>
      <c r="U54" s="63"/>
      <c r="V54" s="54"/>
      <c r="W54" s="49"/>
      <c r="X54" s="58">
        <f>ROUND((ROUND((ROUND((_11_A通院１０．５*_11・基礎１),0)*_11・２人),0)*(1+_11・A深夜)),0)+ROUND((ROUND((ROUND((_11_B通院１０．５＿０．５*_11・基礎１),0)*_11・２人),0)*(1+_11・B早朝)),0)+ROUND((ROUND((_11_C通院１０．５＿０．５＿１．５*_11・基礎１),0)*_11・２人),0)</f>
        <v>644</v>
      </c>
      <c r="Y54" s="59"/>
    </row>
    <row r="55" spans="1:25" ht="16.5" customHeight="1" x14ac:dyDescent="0.2">
      <c r="A55" s="44">
        <v>16</v>
      </c>
      <c r="B55" s="53">
        <v>3655</v>
      </c>
      <c r="C55" s="69" t="s">
        <v>1075</v>
      </c>
      <c r="D55" s="103"/>
      <c r="E55" s="86"/>
      <c r="F55" s="67"/>
      <c r="H55" s="243" t="s">
        <v>1978</v>
      </c>
      <c r="I55" s="244"/>
      <c r="J55" s="62"/>
      <c r="K55" s="60"/>
      <c r="L55" s="61"/>
      <c r="M55" s="55"/>
      <c r="N55" s="56"/>
      <c r="O55" s="57"/>
      <c r="P55" s="47"/>
      <c r="R55" s="63"/>
      <c r="S55" s="47"/>
      <c r="U55" s="63"/>
      <c r="V55" s="62"/>
      <c r="W55" s="60"/>
      <c r="X55" s="58">
        <f>ROUND((_11_A通院１０．５*(1+_11・A深夜)),0)+ROUND((_11_B通院１０．５＿０．５*(1+_11・B早朝)),0)+_11_C通院１０．５＿０．５＿２．０</f>
        <v>1002</v>
      </c>
      <c r="Y55" s="59"/>
    </row>
    <row r="56" spans="1:25" ht="16.5" customHeight="1" x14ac:dyDescent="0.2">
      <c r="A56" s="44">
        <v>16</v>
      </c>
      <c r="B56" s="53">
        <v>3656</v>
      </c>
      <c r="C56" s="69" t="s">
        <v>1076</v>
      </c>
      <c r="D56" s="103"/>
      <c r="E56" s="86"/>
      <c r="F56" s="67"/>
      <c r="H56" s="245"/>
      <c r="I56" s="246"/>
      <c r="J56" s="54"/>
      <c r="K56" s="49"/>
      <c r="L56" s="50"/>
      <c r="M56" s="55" t="s">
        <v>396</v>
      </c>
      <c r="N56" s="56" t="s">
        <v>397</v>
      </c>
      <c r="O56" s="57">
        <v>1</v>
      </c>
      <c r="P56" s="47"/>
      <c r="R56" s="63"/>
      <c r="S56" s="47"/>
      <c r="U56" s="63"/>
      <c r="V56" s="47"/>
      <c r="X56" s="58">
        <f>ROUND((ROUND((_11_A通院１０．５*_11・２人),0)*(1+_11・A深夜)),0)+ROUND((ROUND((_11_B通院１０．５＿０．５*_11・２人),0)*(1+_11・B早朝)),0)+ROUND((_11_C通院１０．５＿０．５＿２．０*_11・２人),0)</f>
        <v>1002</v>
      </c>
      <c r="Y56" s="59"/>
    </row>
    <row r="57" spans="1:25" ht="16.5" customHeight="1" x14ac:dyDescent="0.2">
      <c r="A57" s="44">
        <v>16</v>
      </c>
      <c r="B57" s="53">
        <v>3657</v>
      </c>
      <c r="C57" s="69" t="s">
        <v>1077</v>
      </c>
      <c r="D57" s="103"/>
      <c r="E57" s="86"/>
      <c r="F57" s="67"/>
      <c r="H57" s="245"/>
      <c r="I57" s="246"/>
      <c r="J57" s="241" t="s">
        <v>398</v>
      </c>
      <c r="K57" s="60" t="s">
        <v>397</v>
      </c>
      <c r="L57" s="61">
        <v>0.7</v>
      </c>
      <c r="M57" s="55"/>
      <c r="N57" s="56"/>
      <c r="O57" s="57"/>
      <c r="P57" s="47"/>
      <c r="R57" s="63"/>
      <c r="S57" s="47"/>
      <c r="U57" s="63"/>
      <c r="V57" s="47"/>
      <c r="X57" s="58">
        <f>ROUND((ROUND((_11_A通院１０．５*_11・基礎１),0)*(1+_11・A深夜)),0)+ROUND((ROUND((_11_B通院１０．５＿０．５*_11・基礎１),0)*(1+_11・B早朝)),0)+ROUND((_11_C通院１０．５＿０．５＿２．０*_11・基礎１),0)</f>
        <v>702</v>
      </c>
      <c r="Y57" s="59"/>
    </row>
    <row r="58" spans="1:25" ht="16.5" customHeight="1" x14ac:dyDescent="0.2">
      <c r="A58" s="44">
        <v>16</v>
      </c>
      <c r="B58" s="53">
        <v>3658</v>
      </c>
      <c r="C58" s="69" t="s">
        <v>1078</v>
      </c>
      <c r="D58" s="114"/>
      <c r="E58" s="63"/>
      <c r="F58" s="67"/>
      <c r="H58" s="99">
        <f>_11_C通院１０．５＿０．５＿２．０</f>
        <v>433</v>
      </c>
      <c r="I58" s="25" t="s">
        <v>394</v>
      </c>
      <c r="J58" s="242"/>
      <c r="K58" s="49"/>
      <c r="L58" s="50"/>
      <c r="M58" s="55" t="s">
        <v>396</v>
      </c>
      <c r="N58" s="56" t="s">
        <v>397</v>
      </c>
      <c r="O58" s="57">
        <v>1</v>
      </c>
      <c r="P58" s="47"/>
      <c r="R58" s="63"/>
      <c r="S58" s="47"/>
      <c r="U58" s="63"/>
      <c r="V58" s="54"/>
      <c r="W58" s="49"/>
      <c r="X58" s="58">
        <f>ROUND((ROUND((ROUND((_11_A通院１０．５*_11・基礎１),0)*_11・２人),0)*(1+_11・A深夜)),0)+ROUND((ROUND((ROUND((_11_B通院１０．５＿０．５*_11・基礎１),0)*_11・２人),0)*(1+_11・B早朝)),0)+ROUND((ROUND((_11_C通院１０．５＿０．５＿２．０*_11・基礎１),0)*_11・２人),0)</f>
        <v>702</v>
      </c>
      <c r="Y58" s="59"/>
    </row>
    <row r="59" spans="1:25" ht="16.5" customHeight="1" x14ac:dyDescent="0.2">
      <c r="A59" s="44">
        <v>16</v>
      </c>
      <c r="B59" s="44">
        <v>3659</v>
      </c>
      <c r="C59" s="45" t="s">
        <v>1079</v>
      </c>
      <c r="D59" s="245" t="s">
        <v>1997</v>
      </c>
      <c r="E59" s="246"/>
      <c r="F59" s="245" t="s">
        <v>1970</v>
      </c>
      <c r="G59" s="246"/>
      <c r="H59" s="245" t="s">
        <v>1975</v>
      </c>
      <c r="I59" s="246"/>
      <c r="J59" s="47"/>
      <c r="M59" s="48"/>
      <c r="N59" s="49"/>
      <c r="O59" s="50"/>
      <c r="P59" s="47"/>
      <c r="R59" s="63"/>
      <c r="S59" s="47"/>
      <c r="U59" s="63"/>
      <c r="V59" s="47"/>
      <c r="X59" s="51">
        <f>ROUND((_11_A通院１１．０*(1+_11・A深夜)),0)+ROUND((_11_B通院１１．０＿０．５*(1+_11・B早朝)),0)+_11_C通院１１．０＿０．５＿０．５</f>
        <v>917</v>
      </c>
      <c r="Y59" s="59"/>
    </row>
    <row r="60" spans="1:25" ht="16.5" customHeight="1" x14ac:dyDescent="0.2">
      <c r="A60" s="44">
        <v>16</v>
      </c>
      <c r="B60" s="53">
        <v>3660</v>
      </c>
      <c r="C60" s="69" t="s">
        <v>1080</v>
      </c>
      <c r="D60" s="245"/>
      <c r="E60" s="246"/>
      <c r="F60" s="245"/>
      <c r="G60" s="246"/>
      <c r="H60" s="245"/>
      <c r="I60" s="246"/>
      <c r="J60" s="54"/>
      <c r="K60" s="49"/>
      <c r="L60" s="50"/>
      <c r="M60" s="55" t="s">
        <v>396</v>
      </c>
      <c r="N60" s="56" t="s">
        <v>397</v>
      </c>
      <c r="O60" s="57">
        <v>1</v>
      </c>
      <c r="P60" s="47"/>
      <c r="R60" s="63"/>
      <c r="S60" s="47"/>
      <c r="U60" s="63"/>
      <c r="V60" s="47"/>
      <c r="X60" s="58">
        <f>ROUND((ROUND((_11_A通院１１．０*_11・２人),0)*(1+_11・A深夜)),0)+ROUND((ROUND((_11_B通院１１．０＿０．５*_11・２人),0)*(1+_11・B早朝)),0)+ROUND((_11_C通院１１．０＿０．５＿０．５*_11・２人),0)</f>
        <v>917</v>
      </c>
      <c r="Y60" s="59"/>
    </row>
    <row r="61" spans="1:25" ht="16.5" customHeight="1" x14ac:dyDescent="0.2">
      <c r="A61" s="44">
        <v>16</v>
      </c>
      <c r="B61" s="53">
        <v>3661</v>
      </c>
      <c r="C61" s="69" t="s">
        <v>1081</v>
      </c>
      <c r="D61" s="245"/>
      <c r="E61" s="246"/>
      <c r="F61" s="245"/>
      <c r="G61" s="246"/>
      <c r="H61" s="245"/>
      <c r="I61" s="246"/>
      <c r="J61" s="241" t="s">
        <v>398</v>
      </c>
      <c r="K61" s="60" t="s">
        <v>397</v>
      </c>
      <c r="L61" s="61">
        <v>0.7</v>
      </c>
      <c r="M61" s="55"/>
      <c r="N61" s="56"/>
      <c r="O61" s="57"/>
      <c r="P61" s="47"/>
      <c r="R61" s="63"/>
      <c r="S61" s="47"/>
      <c r="U61" s="63"/>
      <c r="V61" s="47"/>
      <c r="X61" s="58">
        <f>ROUND((ROUND((_11_A通院１１．０*_11・基礎１),0)*(1+_11・A深夜)),0)+ROUND((ROUND((_11_B通院１１．０＿０．５*_11・基礎１),0)*(1+_11・B早朝)),0)+ROUND((_11_C通院１１．０＿０．５＿０．５*_11・基礎１),0)</f>
        <v>642</v>
      </c>
      <c r="Y61" s="59"/>
    </row>
    <row r="62" spans="1:25" ht="16.5" customHeight="1" x14ac:dyDescent="0.2">
      <c r="A62" s="44">
        <v>16</v>
      </c>
      <c r="B62" s="53">
        <v>3662</v>
      </c>
      <c r="C62" s="69" t="s">
        <v>1082</v>
      </c>
      <c r="D62" s="99">
        <f>_11_A通院１１．０</f>
        <v>404</v>
      </c>
      <c r="E62" s="25" t="s">
        <v>394</v>
      </c>
      <c r="F62" s="99">
        <f>_11_B通院１１．０＿０．５</f>
        <v>183</v>
      </c>
      <c r="G62" s="25" t="s">
        <v>394</v>
      </c>
      <c r="H62" s="99">
        <f>_11_C通院１１．０＿０．５＿０．５</f>
        <v>82</v>
      </c>
      <c r="I62" s="25" t="s">
        <v>394</v>
      </c>
      <c r="J62" s="242"/>
      <c r="K62" s="49"/>
      <c r="L62" s="50"/>
      <c r="M62" s="55" t="s">
        <v>396</v>
      </c>
      <c r="N62" s="56" t="s">
        <v>397</v>
      </c>
      <c r="O62" s="57">
        <v>1</v>
      </c>
      <c r="P62" s="47"/>
      <c r="R62" s="63"/>
      <c r="S62" s="47"/>
      <c r="U62" s="63"/>
      <c r="V62" s="54"/>
      <c r="W62" s="49"/>
      <c r="X62" s="58">
        <f>ROUND((ROUND((ROUND((_11_A通院１１．０*_11・基礎１),0)*_11・２人),0)*(1+_11・A深夜)),0)+ROUND((ROUND((ROUND((_11_B通院１１．０＿０．５*_11・基礎１),0)*_11・２人),0)*(1+_11・B早朝)),0)+ROUND((ROUND((_11_C通院１１．０＿０．５＿０．５*_11・基礎１),0)*_11・２人),0)</f>
        <v>642</v>
      </c>
      <c r="Y62" s="59"/>
    </row>
    <row r="63" spans="1:25" ht="16.5" customHeight="1" x14ac:dyDescent="0.2">
      <c r="A63" s="44">
        <v>16</v>
      </c>
      <c r="B63" s="53">
        <v>3663</v>
      </c>
      <c r="C63" s="69" t="s">
        <v>1083</v>
      </c>
      <c r="D63" s="67"/>
      <c r="F63" s="67"/>
      <c r="H63" s="243" t="s">
        <v>1976</v>
      </c>
      <c r="I63" s="244"/>
      <c r="J63" s="62"/>
      <c r="K63" s="60"/>
      <c r="L63" s="61"/>
      <c r="M63" s="55"/>
      <c r="N63" s="56"/>
      <c r="O63" s="57"/>
      <c r="P63" s="47"/>
      <c r="R63" s="63"/>
      <c r="S63" s="47"/>
      <c r="U63" s="63"/>
      <c r="V63" s="62"/>
      <c r="W63" s="60"/>
      <c r="X63" s="58">
        <f>ROUND((_11_A通院１１．０*(1+_11・A深夜)),0)+ROUND((_11_B通院１１．０＿０．５*(1+_11・B早朝)),0)+_11_C通院１１．０＿０．５＿１．０</f>
        <v>1002</v>
      </c>
      <c r="Y63" s="59"/>
    </row>
    <row r="64" spans="1:25" ht="16.5" customHeight="1" x14ac:dyDescent="0.2">
      <c r="A64" s="44">
        <v>16</v>
      </c>
      <c r="B64" s="53">
        <v>3664</v>
      </c>
      <c r="C64" s="69" t="s">
        <v>1084</v>
      </c>
      <c r="D64" s="67"/>
      <c r="F64" s="67"/>
      <c r="H64" s="245"/>
      <c r="I64" s="246"/>
      <c r="J64" s="54"/>
      <c r="K64" s="49"/>
      <c r="L64" s="50"/>
      <c r="M64" s="55" t="s">
        <v>396</v>
      </c>
      <c r="N64" s="56" t="s">
        <v>397</v>
      </c>
      <c r="O64" s="57">
        <v>1</v>
      </c>
      <c r="P64" s="47"/>
      <c r="R64" s="63"/>
      <c r="S64" s="47"/>
      <c r="U64" s="63"/>
      <c r="V64" s="47"/>
      <c r="X64" s="58">
        <f>ROUND((ROUND((_11_A通院１１．０*_11・２人),0)*(1+_11・A深夜)),0)+ROUND((ROUND((_11_B通院１１．０＿０．５*_11・２人),0)*(1+_11・B早朝)),0)+ROUND((_11_C通院１１．０＿０．５＿１．０*_11・２人),0)</f>
        <v>1002</v>
      </c>
      <c r="Y64" s="59"/>
    </row>
    <row r="65" spans="1:25" ht="16.5" customHeight="1" x14ac:dyDescent="0.2">
      <c r="A65" s="44">
        <v>16</v>
      </c>
      <c r="B65" s="53">
        <v>3665</v>
      </c>
      <c r="C65" s="69" t="s">
        <v>1085</v>
      </c>
      <c r="D65" s="67"/>
      <c r="F65" s="67"/>
      <c r="H65" s="245"/>
      <c r="I65" s="246"/>
      <c r="J65" s="241" t="s">
        <v>398</v>
      </c>
      <c r="K65" s="60" t="s">
        <v>397</v>
      </c>
      <c r="L65" s="61">
        <v>0.7</v>
      </c>
      <c r="M65" s="55"/>
      <c r="N65" s="56"/>
      <c r="O65" s="57"/>
      <c r="P65" s="47"/>
      <c r="R65" s="63"/>
      <c r="S65" s="47"/>
      <c r="U65" s="63"/>
      <c r="V65" s="47"/>
      <c r="X65" s="58">
        <f>ROUND((ROUND((_11_A通院１１．０*_11・基礎１),0)*(1+_11・A深夜)),0)+ROUND((ROUND((_11_B通院１１．０＿０．５*_11・基礎１),0)*(1+_11・B早朝)),0)+ROUND((_11_C通院１１．０＿０．５＿１．０*_11・基礎１),0)</f>
        <v>702</v>
      </c>
      <c r="Y65" s="59"/>
    </row>
    <row r="66" spans="1:25" ht="16.5" customHeight="1" x14ac:dyDescent="0.2">
      <c r="A66" s="44">
        <v>16</v>
      </c>
      <c r="B66" s="53">
        <v>3666</v>
      </c>
      <c r="C66" s="69" t="s">
        <v>1086</v>
      </c>
      <c r="D66" s="67"/>
      <c r="F66" s="67"/>
      <c r="H66" s="99">
        <f>_11_C通院１１．０＿０．５＿１．０</f>
        <v>167</v>
      </c>
      <c r="I66" s="25" t="s">
        <v>394</v>
      </c>
      <c r="J66" s="242"/>
      <c r="K66" s="49"/>
      <c r="L66" s="50"/>
      <c r="M66" s="55" t="s">
        <v>396</v>
      </c>
      <c r="N66" s="56" t="s">
        <v>397</v>
      </c>
      <c r="O66" s="57">
        <v>1</v>
      </c>
      <c r="P66" s="47"/>
      <c r="R66" s="63"/>
      <c r="S66" s="47"/>
      <c r="U66" s="63"/>
      <c r="V66" s="54"/>
      <c r="W66" s="49"/>
      <c r="X66" s="58">
        <f>ROUND((ROUND((ROUND((_11_A通院１１．０*_11・基礎１),0)*_11・２人),0)*(1+_11・A深夜)),0)+ROUND((ROUND((ROUND((_11_B通院１１．０＿０．５*_11・基礎１),0)*_11・２人),0)*(1+_11・B早朝)),0)+ROUND((ROUND((_11_C通院１１．０＿０．５＿１．０*_11・基礎１),0)*_11・２人),0)</f>
        <v>702</v>
      </c>
      <c r="Y66" s="59"/>
    </row>
    <row r="67" spans="1:25" ht="16.5" customHeight="1" x14ac:dyDescent="0.2">
      <c r="A67" s="44">
        <v>16</v>
      </c>
      <c r="B67" s="53">
        <v>3667</v>
      </c>
      <c r="C67" s="69" t="s">
        <v>1087</v>
      </c>
      <c r="D67" s="67"/>
      <c r="F67" s="67"/>
      <c r="H67" s="243" t="s">
        <v>1977</v>
      </c>
      <c r="I67" s="244"/>
      <c r="J67" s="62"/>
      <c r="K67" s="60"/>
      <c r="L67" s="61"/>
      <c r="M67" s="55"/>
      <c r="N67" s="56"/>
      <c r="O67" s="57"/>
      <c r="P67" s="47"/>
      <c r="R67" s="63"/>
      <c r="S67" s="47"/>
      <c r="U67" s="63"/>
      <c r="V67" s="62"/>
      <c r="W67" s="60"/>
      <c r="X67" s="58">
        <f>ROUND((_11_A通院１１．０*(1+_11・A深夜)),0)+ROUND((_11_B通院１１．０＿０．５*(1+_11・B早朝)),0)+_11_C通院１１．０＿０．５＿１．５</f>
        <v>1085</v>
      </c>
      <c r="Y67" s="59"/>
    </row>
    <row r="68" spans="1:25" ht="16.5" customHeight="1" x14ac:dyDescent="0.2">
      <c r="A68" s="44">
        <v>16</v>
      </c>
      <c r="B68" s="53">
        <v>3668</v>
      </c>
      <c r="C68" s="69" t="s">
        <v>1088</v>
      </c>
      <c r="D68" s="67"/>
      <c r="F68" s="67"/>
      <c r="H68" s="245"/>
      <c r="I68" s="246"/>
      <c r="J68" s="54"/>
      <c r="K68" s="49"/>
      <c r="L68" s="50"/>
      <c r="M68" s="55" t="s">
        <v>396</v>
      </c>
      <c r="N68" s="56" t="s">
        <v>397</v>
      </c>
      <c r="O68" s="57">
        <v>1</v>
      </c>
      <c r="P68" s="47"/>
      <c r="R68" s="63"/>
      <c r="S68" s="47"/>
      <c r="U68" s="63"/>
      <c r="V68" s="47"/>
      <c r="X68" s="58">
        <f>ROUND((ROUND((_11_A通院１１．０*_11・２人),0)*(1+_11・A深夜)),0)+ROUND((ROUND((_11_B通院１１．０＿０．５*_11・２人),0)*(1+_11・B早朝)),0)+ROUND((_11_C通院１１．０＿０．５＿１．５*_11・２人),0)</f>
        <v>1085</v>
      </c>
      <c r="Y68" s="59"/>
    </row>
    <row r="69" spans="1:25" ht="16.5" customHeight="1" x14ac:dyDescent="0.2">
      <c r="A69" s="44">
        <v>16</v>
      </c>
      <c r="B69" s="53">
        <v>3669</v>
      </c>
      <c r="C69" s="69" t="s">
        <v>1089</v>
      </c>
      <c r="D69" s="67"/>
      <c r="F69" s="67"/>
      <c r="H69" s="245"/>
      <c r="I69" s="246"/>
      <c r="J69" s="241" t="s">
        <v>398</v>
      </c>
      <c r="K69" s="60" t="s">
        <v>397</v>
      </c>
      <c r="L69" s="61">
        <v>0.7</v>
      </c>
      <c r="M69" s="55"/>
      <c r="N69" s="56"/>
      <c r="O69" s="57"/>
      <c r="P69" s="47"/>
      <c r="R69" s="63"/>
      <c r="S69" s="47"/>
      <c r="U69" s="63"/>
      <c r="V69" s="47"/>
      <c r="X69" s="58">
        <f>ROUND((ROUND((_11_A通院１１．０*_11・基礎１),0)*(1+_11・A深夜)),0)+ROUND((ROUND((_11_B通院１１．０＿０．５*_11・基礎１),0)*(1+_11・B早朝)),0)+ROUND((_11_C通院１１．０＿０．５＿１．５*_11・基礎１),0)</f>
        <v>760</v>
      </c>
      <c r="Y69" s="59"/>
    </row>
    <row r="70" spans="1:25" ht="16.5" customHeight="1" x14ac:dyDescent="0.2">
      <c r="A70" s="44">
        <v>16</v>
      </c>
      <c r="B70" s="53">
        <v>3670</v>
      </c>
      <c r="C70" s="69" t="s">
        <v>1090</v>
      </c>
      <c r="D70" s="67"/>
      <c r="F70" s="67"/>
      <c r="H70" s="99">
        <f>_11_C通院１１．０＿０．５＿１．５</f>
        <v>250</v>
      </c>
      <c r="I70" s="25" t="s">
        <v>394</v>
      </c>
      <c r="J70" s="242"/>
      <c r="K70" s="49"/>
      <c r="L70" s="50"/>
      <c r="M70" s="55" t="s">
        <v>396</v>
      </c>
      <c r="N70" s="56" t="s">
        <v>397</v>
      </c>
      <c r="O70" s="57">
        <v>1</v>
      </c>
      <c r="P70" s="47"/>
      <c r="R70" s="63"/>
      <c r="S70" s="47"/>
      <c r="U70" s="63"/>
      <c r="V70" s="54"/>
      <c r="W70" s="49"/>
      <c r="X70" s="58">
        <f>ROUND((ROUND((ROUND((_11_A通院１１．０*_11・基礎１),0)*_11・２人),0)*(1+_11・A深夜)),0)+ROUND((ROUND((ROUND((_11_B通院１１．０＿０．５*_11・基礎１),0)*_11・２人),0)*(1+_11・B早朝)),0)+ROUND((ROUND((_11_C通院１１．０＿０．５＿１．５*_11・基礎１),0)*_11・２人),0)</f>
        <v>760</v>
      </c>
      <c r="Y70" s="59"/>
    </row>
    <row r="71" spans="1:25" ht="16.5" customHeight="1" x14ac:dyDescent="0.2">
      <c r="A71" s="44">
        <v>16</v>
      </c>
      <c r="B71" s="53">
        <v>3671</v>
      </c>
      <c r="C71" s="69" t="s">
        <v>1091</v>
      </c>
      <c r="D71" s="243" t="s">
        <v>1998</v>
      </c>
      <c r="E71" s="244"/>
      <c r="F71" s="243" t="s">
        <v>1970</v>
      </c>
      <c r="G71" s="244"/>
      <c r="H71" s="243" t="s">
        <v>1975</v>
      </c>
      <c r="I71" s="244"/>
      <c r="J71" s="62"/>
      <c r="K71" s="60"/>
      <c r="L71" s="61"/>
      <c r="M71" s="55"/>
      <c r="N71" s="56"/>
      <c r="O71" s="57"/>
      <c r="P71" s="47"/>
      <c r="R71" s="63"/>
      <c r="S71" s="47"/>
      <c r="U71" s="63"/>
      <c r="V71" s="62"/>
      <c r="W71" s="60"/>
      <c r="X71" s="58">
        <f>ROUND((_11_A通院１１．５*(1+_11・A深夜)),0)+ROUND((_11_B通院１１．５＿０．５*(1+_11・B早朝)),0)+_11_C通院１１．５＿０．５＿０．５</f>
        <v>1069</v>
      </c>
      <c r="Y71" s="59"/>
    </row>
    <row r="72" spans="1:25" ht="16.5" customHeight="1" x14ac:dyDescent="0.2">
      <c r="A72" s="44">
        <v>16</v>
      </c>
      <c r="B72" s="53">
        <v>3672</v>
      </c>
      <c r="C72" s="69" t="s">
        <v>1092</v>
      </c>
      <c r="D72" s="245"/>
      <c r="E72" s="246"/>
      <c r="F72" s="245"/>
      <c r="G72" s="246"/>
      <c r="H72" s="245"/>
      <c r="I72" s="246"/>
      <c r="J72" s="54"/>
      <c r="K72" s="49"/>
      <c r="L72" s="50"/>
      <c r="M72" s="55" t="s">
        <v>396</v>
      </c>
      <c r="N72" s="56" t="s">
        <v>397</v>
      </c>
      <c r="O72" s="57">
        <v>1</v>
      </c>
      <c r="P72" s="47"/>
      <c r="R72" s="63"/>
      <c r="S72" s="47"/>
      <c r="U72" s="63"/>
      <c r="V72" s="47"/>
      <c r="X72" s="58">
        <f>ROUND((ROUND((_11_A通院１１．５*_11・２人),0)*(1+_11・A深夜)),0)+ROUND((ROUND((_11_B通院１１．５＿０．５*_11・２人),0)*(1+_11・B早朝)),0)+ROUND((_11_C通院１１．５＿０．５＿０．５*_11・２人),0)</f>
        <v>1069</v>
      </c>
      <c r="Y72" s="59"/>
    </row>
    <row r="73" spans="1:25" ht="16.5" customHeight="1" x14ac:dyDescent="0.2">
      <c r="A73" s="44">
        <v>16</v>
      </c>
      <c r="B73" s="53">
        <v>3673</v>
      </c>
      <c r="C73" s="69" t="s">
        <v>1093</v>
      </c>
      <c r="D73" s="245"/>
      <c r="E73" s="246"/>
      <c r="F73" s="245"/>
      <c r="G73" s="246"/>
      <c r="H73" s="245"/>
      <c r="I73" s="246"/>
      <c r="J73" s="241" t="s">
        <v>398</v>
      </c>
      <c r="K73" s="60" t="s">
        <v>397</v>
      </c>
      <c r="L73" s="61">
        <v>0.7</v>
      </c>
      <c r="M73" s="55"/>
      <c r="N73" s="56"/>
      <c r="O73" s="57"/>
      <c r="P73" s="47"/>
      <c r="R73" s="63"/>
      <c r="S73" s="47"/>
      <c r="U73" s="63"/>
      <c r="V73" s="47"/>
      <c r="X73" s="58">
        <f>ROUND((ROUND((_11_A通院１１．５*_11・基礎１),0)*(1+_11・A深夜)),0)+ROUND((ROUND((_11_B通院１１．５＿０．５*_11・基礎１),0)*(1+_11・B早朝)),0)+ROUND((_11_C通院１１．５＿０．５＿０．５*_11・基礎１),0)</f>
        <v>748</v>
      </c>
      <c r="Y73" s="59"/>
    </row>
    <row r="74" spans="1:25" ht="16.5" customHeight="1" x14ac:dyDescent="0.2">
      <c r="A74" s="44">
        <v>16</v>
      </c>
      <c r="B74" s="53">
        <v>3674</v>
      </c>
      <c r="C74" s="69" t="s">
        <v>1094</v>
      </c>
      <c r="D74" s="99">
        <f>_11_A通院１１．５</f>
        <v>587</v>
      </c>
      <c r="E74" s="25" t="s">
        <v>394</v>
      </c>
      <c r="F74" s="99">
        <f>_11_B通院１１．５＿０．５</f>
        <v>82</v>
      </c>
      <c r="G74" s="25" t="s">
        <v>394</v>
      </c>
      <c r="H74" s="99">
        <f>_11_C通院１１．５＿０．５＿０．５</f>
        <v>85</v>
      </c>
      <c r="I74" s="25" t="s">
        <v>394</v>
      </c>
      <c r="J74" s="242"/>
      <c r="K74" s="49"/>
      <c r="L74" s="50"/>
      <c r="M74" s="55" t="s">
        <v>396</v>
      </c>
      <c r="N74" s="56" t="s">
        <v>397</v>
      </c>
      <c r="O74" s="57">
        <v>1</v>
      </c>
      <c r="P74" s="47"/>
      <c r="R74" s="63"/>
      <c r="S74" s="47"/>
      <c r="U74" s="63"/>
      <c r="V74" s="54"/>
      <c r="W74" s="49"/>
      <c r="X74" s="58">
        <f>ROUND((ROUND((ROUND((_11_A通院１１．５*_11・基礎１),0)*_11・２人),0)*(1+_11・A深夜)),0)+ROUND((ROUND((ROUND((_11_B通院１１．５＿０．５*_11・基礎１),0)*_11・２人),0)*(1+_11・B早朝)),0)+ROUND((ROUND((_11_C通院１１．５＿０．５＿０．５*_11・基礎１),0)*_11・２人),0)</f>
        <v>748</v>
      </c>
      <c r="Y74" s="59"/>
    </row>
    <row r="75" spans="1:25" ht="16.5" customHeight="1" x14ac:dyDescent="0.2">
      <c r="A75" s="44">
        <v>16</v>
      </c>
      <c r="B75" s="53">
        <v>3675</v>
      </c>
      <c r="C75" s="69" t="s">
        <v>1095</v>
      </c>
      <c r="D75" s="67"/>
      <c r="F75" s="67"/>
      <c r="H75" s="243" t="s">
        <v>1976</v>
      </c>
      <c r="I75" s="244"/>
      <c r="J75" s="62"/>
      <c r="K75" s="60"/>
      <c r="L75" s="61"/>
      <c r="M75" s="55"/>
      <c r="N75" s="56"/>
      <c r="O75" s="57"/>
      <c r="P75" s="47"/>
      <c r="R75" s="63"/>
      <c r="S75" s="47"/>
      <c r="U75" s="63"/>
      <c r="V75" s="62"/>
      <c r="W75" s="60"/>
      <c r="X75" s="58">
        <f>ROUND((_11_A通院１１．５*(1+_11・A深夜)),0)+ROUND((_11_B通院１１．５＿０．５*(1+_11・B早朝)),0)+_11_C通院１１．５＿０．５＿１．０</f>
        <v>1152</v>
      </c>
      <c r="Y75" s="59"/>
    </row>
    <row r="76" spans="1:25" ht="16.5" customHeight="1" x14ac:dyDescent="0.2">
      <c r="A76" s="44">
        <v>16</v>
      </c>
      <c r="B76" s="53">
        <v>3676</v>
      </c>
      <c r="C76" s="69" t="s">
        <v>1096</v>
      </c>
      <c r="D76" s="67"/>
      <c r="F76" s="67"/>
      <c r="H76" s="245"/>
      <c r="I76" s="246"/>
      <c r="J76" s="54"/>
      <c r="K76" s="49"/>
      <c r="L76" s="50"/>
      <c r="M76" s="55" t="s">
        <v>396</v>
      </c>
      <c r="N76" s="56" t="s">
        <v>397</v>
      </c>
      <c r="O76" s="57">
        <v>1</v>
      </c>
      <c r="P76" s="47"/>
      <c r="R76" s="63"/>
      <c r="S76" s="47"/>
      <c r="U76" s="63"/>
      <c r="V76" s="47"/>
      <c r="X76" s="58">
        <f>ROUND((ROUND((_11_A通院１１．５*_11・２人),0)*(1+_11・A深夜)),0)+ROUND((ROUND((_11_B通院１１．５＿０．５*_11・２人),0)*(1+_11・B早朝)),0)+ROUND((_11_C通院１１．５＿０．５＿１．０*_11・２人),0)</f>
        <v>1152</v>
      </c>
      <c r="Y76" s="59"/>
    </row>
    <row r="77" spans="1:25" ht="16.5" customHeight="1" x14ac:dyDescent="0.2">
      <c r="A77" s="44">
        <v>16</v>
      </c>
      <c r="B77" s="53">
        <v>3677</v>
      </c>
      <c r="C77" s="69" t="s">
        <v>1097</v>
      </c>
      <c r="D77" s="67"/>
      <c r="F77" s="67"/>
      <c r="H77" s="245"/>
      <c r="I77" s="246"/>
      <c r="J77" s="241" t="s">
        <v>398</v>
      </c>
      <c r="K77" s="60" t="s">
        <v>397</v>
      </c>
      <c r="L77" s="61">
        <v>0.7</v>
      </c>
      <c r="M77" s="55"/>
      <c r="N77" s="56"/>
      <c r="O77" s="57"/>
      <c r="P77" s="47"/>
      <c r="R77" s="63"/>
      <c r="S77" s="47"/>
      <c r="U77" s="63"/>
      <c r="V77" s="47"/>
      <c r="X77" s="58">
        <f>ROUND((ROUND((_11_A通院１１．５*_11・基礎１),0)*(1+_11・A深夜)),0)+ROUND((ROUND((_11_B通院１１．５＿０．５*_11・基礎１),0)*(1+_11・B早朝)),0)+ROUND((_11_C通院１１．５＿０．５＿１．０*_11・基礎１),0)</f>
        <v>806</v>
      </c>
      <c r="Y77" s="59"/>
    </row>
    <row r="78" spans="1:25" ht="16.5" customHeight="1" x14ac:dyDescent="0.2">
      <c r="A78" s="44">
        <v>16</v>
      </c>
      <c r="B78" s="53">
        <v>3678</v>
      </c>
      <c r="C78" s="69" t="s">
        <v>1098</v>
      </c>
      <c r="D78" s="67"/>
      <c r="F78" s="67"/>
      <c r="H78" s="99">
        <f>_11_C通院１１．５＿０．５＿１．０</f>
        <v>168</v>
      </c>
      <c r="I78" s="25" t="s">
        <v>394</v>
      </c>
      <c r="J78" s="242"/>
      <c r="K78" s="49"/>
      <c r="L78" s="50"/>
      <c r="M78" s="55" t="s">
        <v>396</v>
      </c>
      <c r="N78" s="56" t="s">
        <v>397</v>
      </c>
      <c r="O78" s="57">
        <v>1</v>
      </c>
      <c r="P78" s="47"/>
      <c r="R78" s="63"/>
      <c r="S78" s="47"/>
      <c r="U78" s="63"/>
      <c r="V78" s="54"/>
      <c r="W78" s="49"/>
      <c r="X78" s="58">
        <f>ROUND((ROUND((ROUND((_11_A通院１１．５*_11・基礎１),0)*_11・２人),0)*(1+_11・A深夜)),0)+ROUND((ROUND((ROUND((_11_B通院１１．５＿０．５*_11・基礎１),0)*_11・２人),0)*(1+_11・B早朝)),0)+ROUND((ROUND((_11_C通院１１．５＿０．５＿１．０*_11・基礎１),0)*_11・２人),0)</f>
        <v>806</v>
      </c>
      <c r="Y78" s="59"/>
    </row>
    <row r="79" spans="1:25" ht="16.5" customHeight="1" x14ac:dyDescent="0.2">
      <c r="A79" s="44">
        <v>16</v>
      </c>
      <c r="B79" s="53">
        <v>3679</v>
      </c>
      <c r="C79" s="69" t="s">
        <v>1099</v>
      </c>
      <c r="D79" s="243" t="s">
        <v>1999</v>
      </c>
      <c r="E79" s="244"/>
      <c r="F79" s="243" t="s">
        <v>1970</v>
      </c>
      <c r="G79" s="244"/>
      <c r="H79" s="243" t="s">
        <v>1975</v>
      </c>
      <c r="I79" s="244"/>
      <c r="J79" s="62"/>
      <c r="K79" s="60"/>
      <c r="L79" s="61"/>
      <c r="M79" s="55"/>
      <c r="N79" s="56"/>
      <c r="O79" s="57"/>
      <c r="P79" s="47"/>
      <c r="Q79" s="176"/>
      <c r="R79" s="63"/>
      <c r="S79" s="47"/>
      <c r="T79" s="176"/>
      <c r="U79" s="63"/>
      <c r="V79" s="62"/>
      <c r="W79" s="88"/>
      <c r="X79" s="58">
        <f>ROUND((_11_A通院１２．０*(1+_11・A深夜)),0)+ROUND((_11_B通院１２．０＿０．５*(1+_11・B早朝)),0)+_11_C通院１２．０＿０．５＿０．５</f>
        <v>1193</v>
      </c>
      <c r="Y79" s="59"/>
    </row>
    <row r="80" spans="1:25" ht="16.5" customHeight="1" x14ac:dyDescent="0.2">
      <c r="A80" s="44">
        <v>16</v>
      </c>
      <c r="B80" s="53">
        <v>3680</v>
      </c>
      <c r="C80" s="69" t="s">
        <v>1100</v>
      </c>
      <c r="D80" s="245"/>
      <c r="E80" s="246"/>
      <c r="F80" s="245"/>
      <c r="G80" s="246"/>
      <c r="H80" s="245"/>
      <c r="I80" s="246"/>
      <c r="J80" s="54"/>
      <c r="K80" s="49"/>
      <c r="L80" s="50"/>
      <c r="M80" s="55" t="s">
        <v>396</v>
      </c>
      <c r="N80" s="56" t="s">
        <v>397</v>
      </c>
      <c r="O80" s="57">
        <v>1</v>
      </c>
      <c r="P80" s="47"/>
      <c r="Q80" s="176"/>
      <c r="R80" s="63"/>
      <c r="S80" s="47"/>
      <c r="T80" s="176"/>
      <c r="U80" s="63"/>
      <c r="V80" s="47"/>
      <c r="W80" s="63"/>
      <c r="X80" s="58">
        <f>ROUND((ROUND((_11_A通院１２．０*_11・２人),0)*(1+_11・A深夜)),0)+ROUND((ROUND((_11_B通院１２．０＿０．５*_11・２人),0)*(1+_11・B早朝)),0)+ROUND((_11_C通院１２．０＿０．５＿０．５*_11・２人),0)</f>
        <v>1193</v>
      </c>
      <c r="Y80" s="59"/>
    </row>
    <row r="81" spans="1:25" ht="16.5" customHeight="1" x14ac:dyDescent="0.2">
      <c r="A81" s="44">
        <v>16</v>
      </c>
      <c r="B81" s="53">
        <v>3681</v>
      </c>
      <c r="C81" s="69" t="s">
        <v>1101</v>
      </c>
      <c r="D81" s="245"/>
      <c r="E81" s="246"/>
      <c r="F81" s="245"/>
      <c r="G81" s="246"/>
      <c r="H81" s="245"/>
      <c r="I81" s="246"/>
      <c r="J81" s="241" t="s">
        <v>398</v>
      </c>
      <c r="K81" s="60" t="s">
        <v>397</v>
      </c>
      <c r="L81" s="61">
        <v>0.7</v>
      </c>
      <c r="M81" s="55"/>
      <c r="N81" s="56"/>
      <c r="O81" s="57"/>
      <c r="P81" s="47"/>
      <c r="Q81" s="176"/>
      <c r="R81" s="63"/>
      <c r="S81" s="47"/>
      <c r="T81" s="176"/>
      <c r="U81" s="63"/>
      <c r="V81" s="47"/>
      <c r="W81" s="63"/>
      <c r="X81" s="58">
        <f>ROUND((ROUND((_11_A通院１２．０*_11・基礎１),0)*(1+_11・A深夜)),0)+ROUND((ROUND((_11_B通院１２．０＿０．５*_11・基礎１),0)*(1+_11・B早朝)),0)+ROUND((_11_C通院１２．０＿０．５＿０．５*_11・基礎１),0)</f>
        <v>835</v>
      </c>
      <c r="Y81" s="59"/>
    </row>
    <row r="82" spans="1:25" ht="16.5" customHeight="1" x14ac:dyDescent="0.2">
      <c r="A82" s="44">
        <v>16</v>
      </c>
      <c r="B82" s="53">
        <v>3682</v>
      </c>
      <c r="C82" s="69" t="s">
        <v>1102</v>
      </c>
      <c r="D82" s="112">
        <f>_11_A通院１２．０</f>
        <v>669</v>
      </c>
      <c r="E82" s="49" t="s">
        <v>394</v>
      </c>
      <c r="F82" s="112">
        <f>_11_B通院１２．０＿０．５</f>
        <v>85</v>
      </c>
      <c r="G82" s="49" t="s">
        <v>394</v>
      </c>
      <c r="H82" s="112">
        <f>_11_C通院１２．０＿０．５＿０．５</f>
        <v>83</v>
      </c>
      <c r="I82" s="49" t="s">
        <v>394</v>
      </c>
      <c r="J82" s="242"/>
      <c r="K82" s="49"/>
      <c r="L82" s="50"/>
      <c r="M82" s="55" t="s">
        <v>396</v>
      </c>
      <c r="N82" s="56" t="s">
        <v>397</v>
      </c>
      <c r="O82" s="57">
        <v>1</v>
      </c>
      <c r="P82" s="54"/>
      <c r="Q82" s="50"/>
      <c r="R82" s="97"/>
      <c r="S82" s="54"/>
      <c r="T82" s="50"/>
      <c r="U82" s="97"/>
      <c r="V82" s="54"/>
      <c r="W82" s="97"/>
      <c r="X82" s="58">
        <f>ROUND((ROUND((ROUND((_11_A通院１２．０*_11・基礎１),0)*_11・２人),0)*(1+_11・A深夜)),0)+ROUND((ROUND((ROUND((_11_B通院１２．０＿０．５*_11・基礎１),0)*_11・２人),0)*(1+_11・B早朝)),0)+ROUND((ROUND((_11_C通院１２．０＿０．５＿０．５*_11・基礎１),0)*_11・２人),0)</f>
        <v>835</v>
      </c>
      <c r="Y82" s="111"/>
    </row>
    <row r="83" spans="1:25" ht="16.5" customHeight="1" x14ac:dyDescent="0.2"/>
    <row r="84" spans="1:25" ht="16.5" customHeight="1" x14ac:dyDescent="0.2"/>
  </sheetData>
  <mergeCells count="60">
    <mergeCell ref="D7:E9"/>
    <mergeCell ref="F7:G9"/>
    <mergeCell ref="H7:I9"/>
    <mergeCell ref="R8:R9"/>
    <mergeCell ref="U8:U9"/>
    <mergeCell ref="J9:J10"/>
    <mergeCell ref="H11:I13"/>
    <mergeCell ref="J13:J14"/>
    <mergeCell ref="D15:E17"/>
    <mergeCell ref="F15:G17"/>
    <mergeCell ref="H15:I17"/>
    <mergeCell ref="J17:J18"/>
    <mergeCell ref="D19:E21"/>
    <mergeCell ref="F19:G21"/>
    <mergeCell ref="H19:I21"/>
    <mergeCell ref="J21:J22"/>
    <mergeCell ref="H23:I25"/>
    <mergeCell ref="J25:J26"/>
    <mergeCell ref="H27:I29"/>
    <mergeCell ref="J29:J30"/>
    <mergeCell ref="D31:E33"/>
    <mergeCell ref="F31:G33"/>
    <mergeCell ref="H31:I33"/>
    <mergeCell ref="J33:J34"/>
    <mergeCell ref="H35:I37"/>
    <mergeCell ref="J37:J38"/>
    <mergeCell ref="D39:E41"/>
    <mergeCell ref="F39:G41"/>
    <mergeCell ref="H39:I41"/>
    <mergeCell ref="J41:J42"/>
    <mergeCell ref="D43:E45"/>
    <mergeCell ref="F43:G45"/>
    <mergeCell ref="H43:I45"/>
    <mergeCell ref="R44:R45"/>
    <mergeCell ref="U44:U45"/>
    <mergeCell ref="J45:J46"/>
    <mergeCell ref="D59:E61"/>
    <mergeCell ref="F59:G61"/>
    <mergeCell ref="H59:I61"/>
    <mergeCell ref="J61:J62"/>
    <mergeCell ref="H47:I49"/>
    <mergeCell ref="J49:J50"/>
    <mergeCell ref="H51:I53"/>
    <mergeCell ref="J53:J54"/>
    <mergeCell ref="H55:I57"/>
    <mergeCell ref="J57:J58"/>
    <mergeCell ref="D71:E73"/>
    <mergeCell ref="F71:G73"/>
    <mergeCell ref="H71:I73"/>
    <mergeCell ref="J73:J74"/>
    <mergeCell ref="H63:I65"/>
    <mergeCell ref="J65:J66"/>
    <mergeCell ref="H67:I69"/>
    <mergeCell ref="J69:J70"/>
    <mergeCell ref="D79:E81"/>
    <mergeCell ref="F79:G81"/>
    <mergeCell ref="H79:I81"/>
    <mergeCell ref="J81:J82"/>
    <mergeCell ref="H75:I77"/>
    <mergeCell ref="J77:J7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68"/>
  <sheetViews>
    <sheetView workbookViewId="0"/>
  </sheetViews>
  <sheetFormatPr defaultColWidth="8.90625" defaultRowHeight="14" x14ac:dyDescent="0.2"/>
  <cols>
    <col min="1" max="1" width="4.6328125" style="22" customWidth="1"/>
    <col min="2" max="2" width="7.6328125" style="22" customWidth="1"/>
    <col min="3" max="3" width="40.08984375" style="23" bestFit="1" customWidth="1"/>
    <col min="4" max="4" width="4.90625" style="121" customWidth="1"/>
    <col min="5" max="5" width="4.453125" style="25" bestFit="1" customWidth="1"/>
    <col min="6" max="6" width="4.90625" style="121" customWidth="1"/>
    <col min="7" max="7" width="4.453125" style="25" bestFit="1" customWidth="1"/>
    <col min="8" max="8" width="11.90625" style="25" customWidth="1"/>
    <col min="9" max="9" width="3.453125" style="25" bestFit="1" customWidth="1"/>
    <col min="10" max="10" width="4.453125" style="26" bestFit="1" customWidth="1"/>
    <col min="11" max="11" width="24.90625" style="27" bestFit="1" customWidth="1"/>
    <col min="12" max="12" width="3.453125" style="25" bestFit="1" customWidth="1"/>
    <col min="13" max="13" width="5.453125" style="26" bestFit="1" customWidth="1"/>
    <col min="14" max="14" width="3.453125" style="25" bestFit="1" customWidth="1"/>
    <col min="15" max="15" width="4.453125" style="26" bestFit="1" customWidth="1"/>
    <col min="16" max="16" width="5.36328125" style="25" bestFit="1" customWidth="1"/>
    <col min="17" max="17" width="9.90625" style="25" customWidth="1"/>
    <col min="18" max="18" width="4.453125" style="25" bestFit="1" customWidth="1"/>
    <col min="19" max="19" width="7.08984375" style="28" customWidth="1"/>
    <col min="20" max="20" width="8.6328125" style="29" customWidth="1"/>
    <col min="21" max="16384" width="8.90625" style="25"/>
  </cols>
  <sheetData>
    <row r="1" spans="1:20" ht="17.149999999999999" customHeight="1" x14ac:dyDescent="0.2"/>
    <row r="2" spans="1:20" ht="17.149999999999999" customHeight="1" x14ac:dyDescent="0.2"/>
    <row r="3" spans="1:20" ht="17.149999999999999" customHeight="1" x14ac:dyDescent="0.2"/>
    <row r="4" spans="1:20" ht="17.149999999999999" customHeight="1" x14ac:dyDescent="0.2">
      <c r="B4" s="30" t="s">
        <v>1026</v>
      </c>
      <c r="D4" s="122"/>
    </row>
    <row r="5" spans="1:20" ht="16.5" customHeight="1" x14ac:dyDescent="0.2">
      <c r="A5" s="31" t="s">
        <v>386</v>
      </c>
      <c r="B5" s="32"/>
      <c r="C5" s="33" t="s">
        <v>387</v>
      </c>
      <c r="D5" s="91" t="s">
        <v>388</v>
      </c>
      <c r="E5" s="34"/>
      <c r="F5" s="91"/>
      <c r="G5" s="34"/>
      <c r="H5" s="34"/>
      <c r="I5" s="34"/>
      <c r="J5" s="35"/>
      <c r="K5" s="34"/>
      <c r="L5" s="34"/>
      <c r="M5" s="35"/>
      <c r="N5" s="34"/>
      <c r="O5" s="35"/>
      <c r="P5" s="34"/>
      <c r="Q5" s="34"/>
      <c r="R5" s="34"/>
      <c r="S5" s="36" t="s">
        <v>389</v>
      </c>
      <c r="T5" s="33" t="s">
        <v>390</v>
      </c>
    </row>
    <row r="6" spans="1:20" ht="16.5" customHeight="1" x14ac:dyDescent="0.2">
      <c r="A6" s="37" t="s">
        <v>391</v>
      </c>
      <c r="B6" s="37" t="s">
        <v>392</v>
      </c>
      <c r="C6" s="38"/>
      <c r="D6" s="123" t="s">
        <v>403</v>
      </c>
      <c r="E6" s="32"/>
      <c r="F6" s="93"/>
      <c r="G6" s="40"/>
      <c r="H6" s="40"/>
      <c r="I6" s="40"/>
      <c r="J6" s="41"/>
      <c r="K6" s="40"/>
      <c r="L6" s="40"/>
      <c r="M6" s="41"/>
      <c r="N6" s="40"/>
      <c r="O6" s="41"/>
      <c r="P6" s="40"/>
      <c r="Q6" s="40"/>
      <c r="R6" s="40"/>
      <c r="S6" s="42" t="s">
        <v>393</v>
      </c>
      <c r="T6" s="43" t="s">
        <v>394</v>
      </c>
    </row>
    <row r="7" spans="1:20" ht="16.5" customHeight="1" x14ac:dyDescent="0.2">
      <c r="A7" s="44">
        <v>16</v>
      </c>
      <c r="B7" s="44">
        <v>3683</v>
      </c>
      <c r="C7" s="45" t="s">
        <v>1103</v>
      </c>
      <c r="D7" s="245" t="s">
        <v>1957</v>
      </c>
      <c r="E7" s="246"/>
      <c r="F7" s="245" t="s">
        <v>1975</v>
      </c>
      <c r="G7" s="246"/>
      <c r="H7" s="47"/>
      <c r="K7" s="48"/>
      <c r="L7" s="49"/>
      <c r="M7" s="50"/>
      <c r="N7" s="67" t="s">
        <v>405</v>
      </c>
      <c r="P7" s="63"/>
      <c r="Q7" s="47"/>
      <c r="S7" s="51">
        <f>ROUND((_11_A通院１０．５*(1+_11・A深夜)),0)+_11_B通院１０．５＿０．５</f>
        <v>532</v>
      </c>
      <c r="T7" s="52" t="s">
        <v>395</v>
      </c>
    </row>
    <row r="8" spans="1:20" ht="16.5" customHeight="1" x14ac:dyDescent="0.2">
      <c r="A8" s="44">
        <v>16</v>
      </c>
      <c r="B8" s="53">
        <v>3684</v>
      </c>
      <c r="C8" s="69" t="s">
        <v>1104</v>
      </c>
      <c r="D8" s="245"/>
      <c r="E8" s="246"/>
      <c r="F8" s="245"/>
      <c r="G8" s="246"/>
      <c r="H8" s="54"/>
      <c r="I8" s="49"/>
      <c r="J8" s="50"/>
      <c r="K8" s="55" t="s">
        <v>396</v>
      </c>
      <c r="L8" s="56" t="s">
        <v>397</v>
      </c>
      <c r="M8" s="57">
        <v>1</v>
      </c>
      <c r="N8" s="47" t="s">
        <v>397</v>
      </c>
      <c r="O8" s="26">
        <v>0.5</v>
      </c>
      <c r="P8" s="248" t="s">
        <v>400</v>
      </c>
      <c r="Q8" s="47"/>
      <c r="S8" s="58">
        <f>ROUND((ROUND((_11_A通院１０．５*_11・２人),0)*(1+_11・A深夜)),0)+ROUND((_11_B通院１０．５＿０．５*_11・２人),0)</f>
        <v>532</v>
      </c>
      <c r="T8" s="59"/>
    </row>
    <row r="9" spans="1:20" ht="16.5" customHeight="1" x14ac:dyDescent="0.2">
      <c r="A9" s="44">
        <v>16</v>
      </c>
      <c r="B9" s="53">
        <v>3685</v>
      </c>
      <c r="C9" s="69" t="s">
        <v>1105</v>
      </c>
      <c r="D9" s="245"/>
      <c r="E9" s="246"/>
      <c r="F9" s="245"/>
      <c r="G9" s="246"/>
      <c r="H9" s="241" t="s">
        <v>398</v>
      </c>
      <c r="I9" s="60" t="s">
        <v>397</v>
      </c>
      <c r="J9" s="61">
        <v>0.7</v>
      </c>
      <c r="K9" s="55"/>
      <c r="L9" s="56"/>
      <c r="M9" s="57"/>
      <c r="N9" s="47"/>
      <c r="P9" s="248"/>
      <c r="Q9" s="47"/>
      <c r="S9" s="58">
        <f>ROUND((ROUND((_11_A通院１０．５*_11・基礎１),0)*(1+_11・A深夜)),0)+ROUND((_11_B通院１０．５＿０．５*_11・基礎１),0)</f>
        <v>373</v>
      </c>
      <c r="T9" s="59"/>
    </row>
    <row r="10" spans="1:20" ht="16.5" customHeight="1" x14ac:dyDescent="0.2">
      <c r="A10" s="44">
        <v>16</v>
      </c>
      <c r="B10" s="53">
        <v>3686</v>
      </c>
      <c r="C10" s="69" t="s">
        <v>1106</v>
      </c>
      <c r="D10" s="84">
        <f>_11_A通院１０．５</f>
        <v>256</v>
      </c>
      <c r="E10" s="25" t="s">
        <v>394</v>
      </c>
      <c r="F10" s="84">
        <f>_11_B通院１０．５＿０．５</f>
        <v>148</v>
      </c>
      <c r="G10" s="25" t="s">
        <v>394</v>
      </c>
      <c r="H10" s="257"/>
      <c r="I10" s="49"/>
      <c r="J10" s="50"/>
      <c r="K10" s="55" t="s">
        <v>396</v>
      </c>
      <c r="L10" s="56" t="s">
        <v>397</v>
      </c>
      <c r="M10" s="57">
        <v>1</v>
      </c>
      <c r="N10" s="47"/>
      <c r="P10" s="63"/>
      <c r="Q10" s="54"/>
      <c r="R10" s="49"/>
      <c r="S10" s="58">
        <f>ROUND((ROUND((ROUND((_11_A通院１０．５*_11・基礎１),0)*_11・２人),0)*(1+_11・A深夜)),0)+ROUND((ROUND((_11_B通院１０．５＿０．５*_11・基礎１),0)*_11・２人),0)</f>
        <v>373</v>
      </c>
      <c r="T10" s="59"/>
    </row>
    <row r="11" spans="1:20" ht="16.5" customHeight="1" x14ac:dyDescent="0.2">
      <c r="A11" s="44">
        <v>16</v>
      </c>
      <c r="B11" s="53">
        <v>3687</v>
      </c>
      <c r="C11" s="69" t="s">
        <v>1107</v>
      </c>
      <c r="D11" s="124"/>
      <c r="F11" s="243" t="s">
        <v>1976</v>
      </c>
      <c r="G11" s="244"/>
      <c r="H11" s="62"/>
      <c r="I11" s="60"/>
      <c r="J11" s="61"/>
      <c r="K11" s="55"/>
      <c r="L11" s="56"/>
      <c r="M11" s="57"/>
      <c r="N11" s="47"/>
      <c r="P11" s="63"/>
      <c r="Q11" s="62"/>
      <c r="R11" s="60"/>
      <c r="S11" s="58">
        <f>ROUND((_11_A通院１０．５*(1+_11・A深夜)),0)+_11_B通院１０．５＿１．０</f>
        <v>715</v>
      </c>
      <c r="T11" s="59"/>
    </row>
    <row r="12" spans="1:20" ht="16.5" customHeight="1" x14ac:dyDescent="0.2">
      <c r="A12" s="44">
        <v>16</v>
      </c>
      <c r="B12" s="53">
        <v>3688</v>
      </c>
      <c r="C12" s="69" t="s">
        <v>1108</v>
      </c>
      <c r="D12" s="124"/>
      <c r="F12" s="245"/>
      <c r="G12" s="246"/>
      <c r="H12" s="54"/>
      <c r="I12" s="49"/>
      <c r="J12" s="50"/>
      <c r="K12" s="55" t="s">
        <v>396</v>
      </c>
      <c r="L12" s="56" t="s">
        <v>397</v>
      </c>
      <c r="M12" s="57">
        <v>1</v>
      </c>
      <c r="N12" s="47"/>
      <c r="P12" s="63"/>
      <c r="Q12" s="47"/>
      <c r="S12" s="58">
        <f>ROUND((ROUND((_11_A通院１０．５*_11・２人),0)*(1+_11・A深夜)),0)+ROUND((_11_B通院１０．５＿１．０*_11・２人),0)</f>
        <v>715</v>
      </c>
      <c r="T12" s="59"/>
    </row>
    <row r="13" spans="1:20" ht="16.5" customHeight="1" x14ac:dyDescent="0.2">
      <c r="A13" s="44">
        <v>16</v>
      </c>
      <c r="B13" s="53">
        <v>3689</v>
      </c>
      <c r="C13" s="69" t="s">
        <v>1109</v>
      </c>
      <c r="D13" s="124"/>
      <c r="F13" s="245"/>
      <c r="G13" s="246"/>
      <c r="H13" s="241" t="s">
        <v>398</v>
      </c>
      <c r="I13" s="60" t="s">
        <v>397</v>
      </c>
      <c r="J13" s="61">
        <v>0.7</v>
      </c>
      <c r="K13" s="55"/>
      <c r="L13" s="56"/>
      <c r="M13" s="57"/>
      <c r="N13" s="47"/>
      <c r="P13" s="63"/>
      <c r="Q13" s="47"/>
      <c r="S13" s="58">
        <f>ROUND((ROUND((_11_A通院１０．５*_11・基礎１),0)*(1+_11・A深夜)),0)+ROUND((_11_B通院１０．５＿１．０*_11・基礎１),0)</f>
        <v>501</v>
      </c>
      <c r="T13" s="59"/>
    </row>
    <row r="14" spans="1:20" ht="16.5" customHeight="1" x14ac:dyDescent="0.2">
      <c r="A14" s="44">
        <v>16</v>
      </c>
      <c r="B14" s="53">
        <v>3690</v>
      </c>
      <c r="C14" s="69" t="s">
        <v>1110</v>
      </c>
      <c r="D14" s="124"/>
      <c r="F14" s="84">
        <f>_11_B通院１０．５＿１．０</f>
        <v>331</v>
      </c>
      <c r="G14" s="25" t="s">
        <v>394</v>
      </c>
      <c r="H14" s="257"/>
      <c r="I14" s="49"/>
      <c r="J14" s="50"/>
      <c r="K14" s="55" t="s">
        <v>396</v>
      </c>
      <c r="L14" s="56" t="s">
        <v>397</v>
      </c>
      <c r="M14" s="57">
        <v>1</v>
      </c>
      <c r="N14" s="47"/>
      <c r="P14" s="63"/>
      <c r="Q14" s="54"/>
      <c r="R14" s="49"/>
      <c r="S14" s="58">
        <f>ROUND((ROUND((ROUND((_11_A通院１０．５*_11・基礎１),0)*_11・２人),0)*(1+_11・A深夜)),0)+ROUND((ROUND((_11_B通院１０．５＿１．０*_11・基礎１),0)*_11・２人),0)</f>
        <v>501</v>
      </c>
      <c r="T14" s="59"/>
    </row>
    <row r="15" spans="1:20" ht="16.5" customHeight="1" x14ac:dyDescent="0.2">
      <c r="A15" s="44">
        <v>16</v>
      </c>
      <c r="B15" s="53">
        <v>3691</v>
      </c>
      <c r="C15" s="69" t="s">
        <v>1111</v>
      </c>
      <c r="D15" s="124"/>
      <c r="F15" s="243" t="s">
        <v>1977</v>
      </c>
      <c r="G15" s="244"/>
      <c r="H15" s="62"/>
      <c r="I15" s="60"/>
      <c r="J15" s="61"/>
      <c r="K15" s="55"/>
      <c r="L15" s="56"/>
      <c r="M15" s="57"/>
      <c r="N15" s="47"/>
      <c r="P15" s="63"/>
      <c r="Q15" s="62"/>
      <c r="R15" s="60"/>
      <c r="S15" s="58">
        <f>ROUND((_11_A通院１０．５*(1+_11・A深夜)),0)+_11_B通院１０．５＿１．５</f>
        <v>797</v>
      </c>
      <c r="T15" s="59"/>
    </row>
    <row r="16" spans="1:20" ht="16.5" customHeight="1" x14ac:dyDescent="0.2">
      <c r="A16" s="44">
        <v>16</v>
      </c>
      <c r="B16" s="53">
        <v>3692</v>
      </c>
      <c r="C16" s="69" t="s">
        <v>1112</v>
      </c>
      <c r="D16" s="124"/>
      <c r="F16" s="245"/>
      <c r="G16" s="246"/>
      <c r="H16" s="54"/>
      <c r="I16" s="49"/>
      <c r="J16" s="50"/>
      <c r="K16" s="55" t="s">
        <v>396</v>
      </c>
      <c r="L16" s="56" t="s">
        <v>397</v>
      </c>
      <c r="M16" s="57">
        <v>1</v>
      </c>
      <c r="N16" s="47"/>
      <c r="P16" s="63"/>
      <c r="Q16" s="47"/>
      <c r="S16" s="58">
        <f>ROUND((ROUND((_11_A通院１０．５*_11・２人),0)*(1+_11・A深夜)),0)+ROUND((_11_B通院１０．５＿１．５*_11・２人),0)</f>
        <v>797</v>
      </c>
      <c r="T16" s="59"/>
    </row>
    <row r="17" spans="1:20" ht="16.5" customHeight="1" x14ac:dyDescent="0.2">
      <c r="A17" s="44">
        <v>16</v>
      </c>
      <c r="B17" s="53">
        <v>3693</v>
      </c>
      <c r="C17" s="69" t="s">
        <v>1113</v>
      </c>
      <c r="D17" s="124"/>
      <c r="F17" s="245"/>
      <c r="G17" s="246"/>
      <c r="H17" s="241" t="s">
        <v>398</v>
      </c>
      <c r="I17" s="60" t="s">
        <v>397</v>
      </c>
      <c r="J17" s="61">
        <v>0.7</v>
      </c>
      <c r="K17" s="55"/>
      <c r="L17" s="56"/>
      <c r="M17" s="57"/>
      <c r="N17" s="47"/>
      <c r="P17" s="63"/>
      <c r="Q17" s="47"/>
      <c r="S17" s="58">
        <f>ROUND((ROUND((_11_A通院１０．５*_11・基礎１),0)*(1+_11・A深夜)),0)+ROUND((_11_B通院１０．５＿１．５*_11・基礎１),0)</f>
        <v>558</v>
      </c>
      <c r="T17" s="59"/>
    </row>
    <row r="18" spans="1:20" ht="16.5" customHeight="1" x14ac:dyDescent="0.2">
      <c r="A18" s="44">
        <v>16</v>
      </c>
      <c r="B18" s="53">
        <v>3694</v>
      </c>
      <c r="C18" s="69" t="s">
        <v>1114</v>
      </c>
      <c r="D18" s="124"/>
      <c r="F18" s="84">
        <f>_11_B通院１０．５＿１．５</f>
        <v>413</v>
      </c>
      <c r="G18" s="25" t="s">
        <v>394</v>
      </c>
      <c r="H18" s="257"/>
      <c r="I18" s="49"/>
      <c r="J18" s="50"/>
      <c r="K18" s="55" t="s">
        <v>396</v>
      </c>
      <c r="L18" s="56" t="s">
        <v>397</v>
      </c>
      <c r="M18" s="57">
        <v>1</v>
      </c>
      <c r="N18" s="47"/>
      <c r="P18" s="63"/>
      <c r="Q18" s="54"/>
      <c r="R18" s="49"/>
      <c r="S18" s="58">
        <f>ROUND((ROUND((ROUND((_11_A通院１０．５*_11・基礎１),0)*_11・２人),0)*(1+_11・A深夜)),0)+ROUND((ROUND((_11_B通院１０．５＿１．５*_11・基礎１),0)*_11・２人),0)</f>
        <v>558</v>
      </c>
      <c r="T18" s="59"/>
    </row>
    <row r="19" spans="1:20" ht="16.5" customHeight="1" x14ac:dyDescent="0.2">
      <c r="A19" s="44">
        <v>16</v>
      </c>
      <c r="B19" s="53">
        <v>3695</v>
      </c>
      <c r="C19" s="69" t="s">
        <v>1115</v>
      </c>
      <c r="D19" s="103"/>
      <c r="E19" s="86"/>
      <c r="F19" s="243" t="s">
        <v>1978</v>
      </c>
      <c r="G19" s="244"/>
      <c r="H19" s="62"/>
      <c r="I19" s="60"/>
      <c r="J19" s="61"/>
      <c r="K19" s="55"/>
      <c r="L19" s="56"/>
      <c r="M19" s="57"/>
      <c r="N19" s="47"/>
      <c r="P19" s="63"/>
      <c r="Q19" s="62"/>
      <c r="R19" s="60"/>
      <c r="S19" s="58">
        <f>ROUND((_11_A通院１０．５*(1+_11・A深夜)),0)+_11_B通院１０．５＿２．０</f>
        <v>882</v>
      </c>
      <c r="T19" s="59"/>
    </row>
    <row r="20" spans="1:20" ht="16.5" customHeight="1" x14ac:dyDescent="0.2">
      <c r="A20" s="44">
        <v>16</v>
      </c>
      <c r="B20" s="53">
        <v>3696</v>
      </c>
      <c r="C20" s="69" t="s">
        <v>1116</v>
      </c>
      <c r="D20" s="103"/>
      <c r="E20" s="86"/>
      <c r="F20" s="245"/>
      <c r="G20" s="246"/>
      <c r="H20" s="54"/>
      <c r="I20" s="49"/>
      <c r="J20" s="50"/>
      <c r="K20" s="55" t="s">
        <v>396</v>
      </c>
      <c r="L20" s="56" t="s">
        <v>397</v>
      </c>
      <c r="M20" s="57">
        <v>1</v>
      </c>
      <c r="N20" s="47"/>
      <c r="P20" s="63"/>
      <c r="Q20" s="47"/>
      <c r="S20" s="58">
        <f>ROUND((ROUND((_11_A通院１０．５*_11・２人),0)*(1+_11・A深夜)),0)+ROUND((_11_B通院１０．５＿２．０*_11・２人),0)</f>
        <v>882</v>
      </c>
      <c r="T20" s="59"/>
    </row>
    <row r="21" spans="1:20" ht="16.5" customHeight="1" x14ac:dyDescent="0.2">
      <c r="A21" s="44">
        <v>16</v>
      </c>
      <c r="B21" s="53">
        <v>3697</v>
      </c>
      <c r="C21" s="69" t="s">
        <v>1117</v>
      </c>
      <c r="D21" s="103"/>
      <c r="E21" s="86"/>
      <c r="F21" s="245"/>
      <c r="G21" s="246"/>
      <c r="H21" s="241" t="s">
        <v>398</v>
      </c>
      <c r="I21" s="60" t="s">
        <v>397</v>
      </c>
      <c r="J21" s="61">
        <v>0.7</v>
      </c>
      <c r="K21" s="55"/>
      <c r="L21" s="56"/>
      <c r="M21" s="57"/>
      <c r="N21" s="47"/>
      <c r="P21" s="63"/>
      <c r="Q21" s="47"/>
      <c r="S21" s="58">
        <f>ROUND((ROUND((_11_A通院１０．５*_11・基礎１),0)*(1+_11・A深夜)),0)+ROUND((_11_B通院１０．５＿２．０*_11・基礎１),0)</f>
        <v>618</v>
      </c>
      <c r="T21" s="59"/>
    </row>
    <row r="22" spans="1:20" ht="16.5" customHeight="1" x14ac:dyDescent="0.2">
      <c r="A22" s="44">
        <v>16</v>
      </c>
      <c r="B22" s="53">
        <v>3698</v>
      </c>
      <c r="C22" s="69" t="s">
        <v>1118</v>
      </c>
      <c r="D22" s="106"/>
      <c r="E22" s="63"/>
      <c r="F22" s="84">
        <f>_11_B通院１０．５＿２．０</f>
        <v>498</v>
      </c>
      <c r="G22" s="25" t="s">
        <v>394</v>
      </c>
      <c r="H22" s="257"/>
      <c r="I22" s="49"/>
      <c r="J22" s="50"/>
      <c r="K22" s="55" t="s">
        <v>396</v>
      </c>
      <c r="L22" s="56" t="s">
        <v>397</v>
      </c>
      <c r="M22" s="57">
        <v>1</v>
      </c>
      <c r="N22" s="47"/>
      <c r="P22" s="63"/>
      <c r="Q22" s="54"/>
      <c r="R22" s="49"/>
      <c r="S22" s="58">
        <f>ROUND((ROUND((ROUND((_11_A通院１０．５*_11・基礎１),0)*_11・２人),0)*(1+_11・A深夜)),0)+ROUND((ROUND((_11_B通院１０．５＿２．０*_11・基礎１),0)*_11・２人),0)</f>
        <v>618</v>
      </c>
      <c r="T22" s="59"/>
    </row>
    <row r="23" spans="1:20" ht="16.5" customHeight="1" x14ac:dyDescent="0.2">
      <c r="A23" s="44">
        <v>16</v>
      </c>
      <c r="B23" s="53">
        <v>3699</v>
      </c>
      <c r="C23" s="69" t="s">
        <v>1119</v>
      </c>
      <c r="D23" s="124"/>
      <c r="F23" s="243" t="s">
        <v>1979</v>
      </c>
      <c r="G23" s="244"/>
      <c r="H23" s="62"/>
      <c r="I23" s="60"/>
      <c r="J23" s="61"/>
      <c r="K23" s="55"/>
      <c r="L23" s="56"/>
      <c r="M23" s="57"/>
      <c r="N23" s="47"/>
      <c r="P23" s="63"/>
      <c r="Q23" s="62"/>
      <c r="R23" s="60"/>
      <c r="S23" s="58">
        <f>ROUND((_11_A通院１０．５*(1+_11・A深夜)),0)+_11_B通院１０．５＿２．５</f>
        <v>965</v>
      </c>
      <c r="T23" s="59"/>
    </row>
    <row r="24" spans="1:20" ht="16.5" customHeight="1" x14ac:dyDescent="0.2">
      <c r="A24" s="44">
        <v>16</v>
      </c>
      <c r="B24" s="53">
        <v>3700</v>
      </c>
      <c r="C24" s="69" t="s">
        <v>1120</v>
      </c>
      <c r="D24" s="124"/>
      <c r="F24" s="245"/>
      <c r="G24" s="246"/>
      <c r="H24" s="54"/>
      <c r="I24" s="49"/>
      <c r="J24" s="50"/>
      <c r="K24" s="55" t="s">
        <v>396</v>
      </c>
      <c r="L24" s="56" t="s">
        <v>397</v>
      </c>
      <c r="M24" s="57">
        <v>1</v>
      </c>
      <c r="N24" s="47"/>
      <c r="P24" s="63"/>
      <c r="Q24" s="47"/>
      <c r="S24" s="58">
        <f>ROUND((ROUND((_11_A通院１０．５*_11・２人),0)*(1+_11・A深夜)),0)+ROUND((_11_B通院１０．５＿２．５*_11・２人),0)</f>
        <v>965</v>
      </c>
      <c r="T24" s="59"/>
    </row>
    <row r="25" spans="1:20" ht="16.5" customHeight="1" x14ac:dyDescent="0.2">
      <c r="A25" s="44">
        <v>16</v>
      </c>
      <c r="B25" s="53">
        <v>3701</v>
      </c>
      <c r="C25" s="69" t="s">
        <v>1121</v>
      </c>
      <c r="D25" s="124"/>
      <c r="F25" s="245"/>
      <c r="G25" s="246"/>
      <c r="H25" s="241" t="s">
        <v>398</v>
      </c>
      <c r="I25" s="60" t="s">
        <v>397</v>
      </c>
      <c r="J25" s="61">
        <v>0.7</v>
      </c>
      <c r="K25" s="55"/>
      <c r="L25" s="56"/>
      <c r="M25" s="57"/>
      <c r="N25" s="47"/>
      <c r="P25" s="63"/>
      <c r="Q25" s="47"/>
      <c r="S25" s="58">
        <f>ROUND((ROUND((_11_A通院１０．５*_11・基礎１),0)*(1+_11・A深夜)),0)+ROUND((_11_B通院１０．５＿２．５*_11・基礎１),0)</f>
        <v>676</v>
      </c>
      <c r="T25" s="59"/>
    </row>
    <row r="26" spans="1:20" ht="16.5" customHeight="1" x14ac:dyDescent="0.2">
      <c r="A26" s="44">
        <v>16</v>
      </c>
      <c r="B26" s="53">
        <v>3702</v>
      </c>
      <c r="C26" s="69" t="s">
        <v>1122</v>
      </c>
      <c r="D26" s="124"/>
      <c r="F26" s="84">
        <f>_11_B通院１０．５＿２．５</f>
        <v>581</v>
      </c>
      <c r="G26" s="25" t="s">
        <v>394</v>
      </c>
      <c r="H26" s="257"/>
      <c r="I26" s="49"/>
      <c r="J26" s="50"/>
      <c r="K26" s="55" t="s">
        <v>396</v>
      </c>
      <c r="L26" s="56" t="s">
        <v>397</v>
      </c>
      <c r="M26" s="57">
        <v>1</v>
      </c>
      <c r="N26" s="47"/>
      <c r="P26" s="63"/>
      <c r="Q26" s="54"/>
      <c r="R26" s="49"/>
      <c r="S26" s="58">
        <f>ROUND((ROUND((ROUND((_11_A通院１０．５*_11・基礎１),0)*_11・２人),0)*(1+_11・A深夜)),0)+ROUND((ROUND((_11_B通院１０．５＿２．５*_11・基礎１),0)*_11・２人),0)</f>
        <v>676</v>
      </c>
      <c r="T26" s="59"/>
    </row>
    <row r="27" spans="1:20" ht="16.5" customHeight="1" x14ac:dyDescent="0.2">
      <c r="A27" s="44">
        <v>16</v>
      </c>
      <c r="B27" s="53">
        <v>3703</v>
      </c>
      <c r="C27" s="69" t="s">
        <v>1123</v>
      </c>
      <c r="D27" s="243" t="s">
        <v>1958</v>
      </c>
      <c r="E27" s="244"/>
      <c r="F27" s="243" t="s">
        <v>1975</v>
      </c>
      <c r="G27" s="244"/>
      <c r="H27" s="62"/>
      <c r="I27" s="60"/>
      <c r="J27" s="61"/>
      <c r="K27" s="55"/>
      <c r="L27" s="56"/>
      <c r="M27" s="57"/>
      <c r="N27" s="47"/>
      <c r="P27" s="63"/>
      <c r="Q27" s="62"/>
      <c r="R27" s="60"/>
      <c r="S27" s="58">
        <f>ROUND((_11_A通院１１．０*(1+_11・A深夜)),0)+_11_B通院１１．０＿０．５</f>
        <v>789</v>
      </c>
      <c r="T27" s="59"/>
    </row>
    <row r="28" spans="1:20" ht="16.5" customHeight="1" x14ac:dyDescent="0.2">
      <c r="A28" s="44">
        <v>16</v>
      </c>
      <c r="B28" s="53">
        <v>3704</v>
      </c>
      <c r="C28" s="69" t="s">
        <v>1124</v>
      </c>
      <c r="D28" s="245"/>
      <c r="E28" s="246"/>
      <c r="F28" s="245"/>
      <c r="G28" s="246"/>
      <c r="H28" s="54"/>
      <c r="I28" s="49"/>
      <c r="J28" s="50"/>
      <c r="K28" s="55" t="s">
        <v>396</v>
      </c>
      <c r="L28" s="56" t="s">
        <v>397</v>
      </c>
      <c r="M28" s="57">
        <v>1</v>
      </c>
      <c r="N28" s="47"/>
      <c r="P28" s="63"/>
      <c r="Q28" s="47"/>
      <c r="S28" s="58">
        <f>ROUND((ROUND((_11_A通院１１．０*_11・２人),0)*(1+_11・A深夜)),0)+ROUND((_11_B通院１１．０＿０．５*_11・２人),0)</f>
        <v>789</v>
      </c>
      <c r="T28" s="59"/>
    </row>
    <row r="29" spans="1:20" ht="16.5" customHeight="1" x14ac:dyDescent="0.2">
      <c r="A29" s="44">
        <v>16</v>
      </c>
      <c r="B29" s="53">
        <v>3705</v>
      </c>
      <c r="C29" s="69" t="s">
        <v>1125</v>
      </c>
      <c r="D29" s="245"/>
      <c r="E29" s="246"/>
      <c r="F29" s="245"/>
      <c r="G29" s="246"/>
      <c r="H29" s="241" t="s">
        <v>398</v>
      </c>
      <c r="I29" s="60" t="s">
        <v>397</v>
      </c>
      <c r="J29" s="61">
        <v>0.7</v>
      </c>
      <c r="K29" s="55"/>
      <c r="L29" s="56"/>
      <c r="M29" s="57"/>
      <c r="N29" s="47"/>
      <c r="P29" s="63"/>
      <c r="Q29" s="47"/>
      <c r="S29" s="58">
        <f>ROUND((ROUND((_11_A通院１１．０*_11・基礎１),0)*(1+_11・A深夜)),0)+ROUND((_11_B通院１１．０＿０．５*_11・基礎１),0)</f>
        <v>553</v>
      </c>
      <c r="T29" s="59"/>
    </row>
    <row r="30" spans="1:20" ht="16.5" customHeight="1" x14ac:dyDescent="0.2">
      <c r="A30" s="44">
        <v>16</v>
      </c>
      <c r="B30" s="53">
        <v>3706</v>
      </c>
      <c r="C30" s="69" t="s">
        <v>1126</v>
      </c>
      <c r="D30" s="84">
        <f>_11_A通院１１．０</f>
        <v>404</v>
      </c>
      <c r="E30" s="25" t="s">
        <v>394</v>
      </c>
      <c r="F30" s="84">
        <f>_11_B通院１１．０＿０．５</f>
        <v>183</v>
      </c>
      <c r="G30" s="25" t="s">
        <v>394</v>
      </c>
      <c r="H30" s="257"/>
      <c r="I30" s="49"/>
      <c r="J30" s="50"/>
      <c r="K30" s="55" t="s">
        <v>396</v>
      </c>
      <c r="L30" s="56" t="s">
        <v>397</v>
      </c>
      <c r="M30" s="57">
        <v>1</v>
      </c>
      <c r="N30" s="47"/>
      <c r="P30" s="63"/>
      <c r="Q30" s="54"/>
      <c r="R30" s="49"/>
      <c r="S30" s="58">
        <f>ROUND((ROUND((ROUND((_11_A通院１１．０*_11・基礎１),0)*_11・２人),0)*(1+_11・A深夜)),0)+ROUND((ROUND((_11_B通院１１．０＿０．５*_11・基礎１),0)*_11・２人),0)</f>
        <v>553</v>
      </c>
      <c r="T30" s="59"/>
    </row>
    <row r="31" spans="1:20" ht="16.5" customHeight="1" x14ac:dyDescent="0.2">
      <c r="A31" s="44">
        <v>16</v>
      </c>
      <c r="B31" s="53">
        <v>3707</v>
      </c>
      <c r="C31" s="69" t="s">
        <v>1127</v>
      </c>
      <c r="D31" s="103"/>
      <c r="E31" s="86"/>
      <c r="F31" s="243" t="s">
        <v>1976</v>
      </c>
      <c r="G31" s="244"/>
      <c r="H31" s="62"/>
      <c r="I31" s="60"/>
      <c r="J31" s="61"/>
      <c r="K31" s="55"/>
      <c r="L31" s="56"/>
      <c r="M31" s="57"/>
      <c r="N31" s="47"/>
      <c r="P31" s="63"/>
      <c r="Q31" s="62"/>
      <c r="R31" s="60"/>
      <c r="S31" s="58">
        <f>ROUND((_11_A通院１１．０*(1+_11・A深夜)),0)+_11_B通院１１．０＿１．０</f>
        <v>871</v>
      </c>
      <c r="T31" s="59"/>
    </row>
    <row r="32" spans="1:20" ht="16.5" customHeight="1" x14ac:dyDescent="0.2">
      <c r="A32" s="44">
        <v>16</v>
      </c>
      <c r="B32" s="53">
        <v>3708</v>
      </c>
      <c r="C32" s="69" t="s">
        <v>1128</v>
      </c>
      <c r="D32" s="103"/>
      <c r="E32" s="86"/>
      <c r="F32" s="245"/>
      <c r="G32" s="246"/>
      <c r="H32" s="54"/>
      <c r="I32" s="49"/>
      <c r="J32" s="50"/>
      <c r="K32" s="55" t="s">
        <v>396</v>
      </c>
      <c r="L32" s="56" t="s">
        <v>397</v>
      </c>
      <c r="M32" s="57">
        <v>1</v>
      </c>
      <c r="N32" s="47"/>
      <c r="P32" s="63"/>
      <c r="Q32" s="47"/>
      <c r="S32" s="58">
        <f>ROUND((ROUND((_11_A通院１１．０*_11・２人),0)*(1+_11・A深夜)),0)+ROUND((_11_B通院１１．０＿１．０*_11・２人),0)</f>
        <v>871</v>
      </c>
      <c r="T32" s="59"/>
    </row>
    <row r="33" spans="1:20" ht="16.5" customHeight="1" x14ac:dyDescent="0.2">
      <c r="A33" s="44">
        <v>16</v>
      </c>
      <c r="B33" s="53">
        <v>3709</v>
      </c>
      <c r="C33" s="69" t="s">
        <v>1129</v>
      </c>
      <c r="D33" s="103"/>
      <c r="E33" s="86"/>
      <c r="F33" s="245"/>
      <c r="G33" s="246"/>
      <c r="H33" s="241" t="s">
        <v>398</v>
      </c>
      <c r="I33" s="60" t="s">
        <v>397</v>
      </c>
      <c r="J33" s="61">
        <v>0.7</v>
      </c>
      <c r="K33" s="55"/>
      <c r="L33" s="56"/>
      <c r="M33" s="57"/>
      <c r="N33" s="47"/>
      <c r="P33" s="63"/>
      <c r="Q33" s="47"/>
      <c r="S33" s="58">
        <f>ROUND((ROUND((_11_A通院１１．０*_11・基礎１),0)*(1+_11・A深夜)),0)+ROUND((_11_B通院１１．０＿１．０*_11・基礎１),0)</f>
        <v>611</v>
      </c>
      <c r="T33" s="59"/>
    </row>
    <row r="34" spans="1:20" ht="16.5" customHeight="1" x14ac:dyDescent="0.2">
      <c r="A34" s="44">
        <v>16</v>
      </c>
      <c r="B34" s="53">
        <v>3710</v>
      </c>
      <c r="C34" s="69" t="s">
        <v>1130</v>
      </c>
      <c r="D34" s="106"/>
      <c r="E34" s="63"/>
      <c r="F34" s="84">
        <f>_11_B通院１１．０＿１．０</f>
        <v>265</v>
      </c>
      <c r="G34" s="25" t="s">
        <v>394</v>
      </c>
      <c r="H34" s="257"/>
      <c r="I34" s="49"/>
      <c r="J34" s="50"/>
      <c r="K34" s="55" t="s">
        <v>396</v>
      </c>
      <c r="L34" s="56" t="s">
        <v>397</v>
      </c>
      <c r="M34" s="57">
        <v>1</v>
      </c>
      <c r="N34" s="47"/>
      <c r="P34" s="63"/>
      <c r="Q34" s="54"/>
      <c r="R34" s="49"/>
      <c r="S34" s="58">
        <f>ROUND((ROUND((ROUND((_11_A通院１１．０*_11・基礎１),0)*_11・２人),0)*(1+_11・A深夜)),0)+ROUND((ROUND((_11_B通院１１．０＿１．０*_11・基礎１),0)*_11・２人),0)</f>
        <v>611</v>
      </c>
      <c r="T34" s="59"/>
    </row>
    <row r="35" spans="1:20" ht="16.5" customHeight="1" x14ac:dyDescent="0.2">
      <c r="A35" s="44">
        <v>16</v>
      </c>
      <c r="B35" s="53">
        <v>3711</v>
      </c>
      <c r="C35" s="69" t="s">
        <v>1131</v>
      </c>
      <c r="D35" s="124"/>
      <c r="F35" s="243" t="s">
        <v>1977</v>
      </c>
      <c r="G35" s="244"/>
      <c r="H35" s="62"/>
      <c r="I35" s="60"/>
      <c r="J35" s="61"/>
      <c r="K35" s="55"/>
      <c r="L35" s="56"/>
      <c r="M35" s="57"/>
      <c r="N35" s="47"/>
      <c r="P35" s="63"/>
      <c r="Q35" s="62"/>
      <c r="R35" s="60"/>
      <c r="S35" s="58">
        <f>ROUND((_11_A通院１１．０*(1+_11・A深夜)),0)+_11_B通院１１．０＿１．５</f>
        <v>956</v>
      </c>
      <c r="T35" s="59"/>
    </row>
    <row r="36" spans="1:20" ht="16.5" customHeight="1" x14ac:dyDescent="0.2">
      <c r="A36" s="44">
        <v>16</v>
      </c>
      <c r="B36" s="53">
        <v>3712</v>
      </c>
      <c r="C36" s="69" t="s">
        <v>1132</v>
      </c>
      <c r="D36" s="124"/>
      <c r="F36" s="245"/>
      <c r="G36" s="246"/>
      <c r="H36" s="54"/>
      <c r="I36" s="49"/>
      <c r="J36" s="50"/>
      <c r="K36" s="55" t="s">
        <v>396</v>
      </c>
      <c r="L36" s="56" t="s">
        <v>397</v>
      </c>
      <c r="M36" s="57">
        <v>1</v>
      </c>
      <c r="N36" s="47"/>
      <c r="P36" s="63"/>
      <c r="Q36" s="47"/>
      <c r="S36" s="58">
        <f>ROUND((ROUND((_11_A通院１１．０*_11・２人),0)*(1+_11・A深夜)),0)+ROUND((_11_B通院１１．０＿１．５*_11・２人),0)</f>
        <v>956</v>
      </c>
      <c r="T36" s="59"/>
    </row>
    <row r="37" spans="1:20" ht="16.5" customHeight="1" x14ac:dyDescent="0.2">
      <c r="A37" s="44">
        <v>16</v>
      </c>
      <c r="B37" s="53">
        <v>3713</v>
      </c>
      <c r="C37" s="69" t="s">
        <v>1133</v>
      </c>
      <c r="D37" s="124"/>
      <c r="F37" s="245"/>
      <c r="G37" s="246"/>
      <c r="H37" s="241" t="s">
        <v>398</v>
      </c>
      <c r="I37" s="60" t="s">
        <v>397</v>
      </c>
      <c r="J37" s="61">
        <v>0.7</v>
      </c>
      <c r="K37" s="55"/>
      <c r="L37" s="56"/>
      <c r="M37" s="57"/>
      <c r="N37" s="47"/>
      <c r="P37" s="63"/>
      <c r="Q37" s="47"/>
      <c r="S37" s="58">
        <f>ROUND((ROUND((_11_A通院１１．０*_11・基礎１),0)*(1+_11・A深夜)),0)+ROUND((_11_B通院１１．０＿１．５*_11・基礎１),0)</f>
        <v>670</v>
      </c>
      <c r="T37" s="59"/>
    </row>
    <row r="38" spans="1:20" ht="16.5" customHeight="1" x14ac:dyDescent="0.2">
      <c r="A38" s="44">
        <v>16</v>
      </c>
      <c r="B38" s="53">
        <v>3714</v>
      </c>
      <c r="C38" s="69" t="s">
        <v>1134</v>
      </c>
      <c r="D38" s="124"/>
      <c r="F38" s="84">
        <f>_11_B通院１１．０＿１．５</f>
        <v>350</v>
      </c>
      <c r="G38" s="25" t="s">
        <v>394</v>
      </c>
      <c r="H38" s="257"/>
      <c r="I38" s="49"/>
      <c r="J38" s="50"/>
      <c r="K38" s="55" t="s">
        <v>396</v>
      </c>
      <c r="L38" s="56" t="s">
        <v>397</v>
      </c>
      <c r="M38" s="57">
        <v>1</v>
      </c>
      <c r="N38" s="47"/>
      <c r="P38" s="63"/>
      <c r="Q38" s="54"/>
      <c r="R38" s="49"/>
      <c r="S38" s="58">
        <f>ROUND((ROUND((ROUND((_11_A通院１１．０*_11・基礎１),0)*_11・２人),0)*(1+_11・A深夜)),0)+ROUND((ROUND((_11_B通院１１．０＿１．５*_11・基礎１),0)*_11・２人),0)</f>
        <v>670</v>
      </c>
      <c r="T38" s="59"/>
    </row>
    <row r="39" spans="1:20" ht="16.5" customHeight="1" x14ac:dyDescent="0.2">
      <c r="A39" s="44">
        <v>16</v>
      </c>
      <c r="B39" s="53">
        <v>3715</v>
      </c>
      <c r="C39" s="69" t="s">
        <v>1135</v>
      </c>
      <c r="D39" s="124"/>
      <c r="F39" s="243" t="s">
        <v>1978</v>
      </c>
      <c r="G39" s="244"/>
      <c r="H39" s="62"/>
      <c r="I39" s="60"/>
      <c r="J39" s="61"/>
      <c r="K39" s="55"/>
      <c r="L39" s="56"/>
      <c r="M39" s="57"/>
      <c r="N39" s="47"/>
      <c r="P39" s="63"/>
      <c r="Q39" s="62"/>
      <c r="R39" s="60"/>
      <c r="S39" s="58">
        <f>ROUND((_11_A通院１１．０*(1+_11・A深夜)),0)+_11_B通院１１．０＿２．０</f>
        <v>1039</v>
      </c>
      <c r="T39" s="59"/>
    </row>
    <row r="40" spans="1:20" ht="16.5" customHeight="1" x14ac:dyDescent="0.2">
      <c r="A40" s="44">
        <v>16</v>
      </c>
      <c r="B40" s="53">
        <v>3716</v>
      </c>
      <c r="C40" s="69" t="s">
        <v>1136</v>
      </c>
      <c r="D40" s="124"/>
      <c r="F40" s="245"/>
      <c r="G40" s="246"/>
      <c r="H40" s="54"/>
      <c r="I40" s="49"/>
      <c r="J40" s="50"/>
      <c r="K40" s="55" t="s">
        <v>396</v>
      </c>
      <c r="L40" s="56" t="s">
        <v>397</v>
      </c>
      <c r="M40" s="57">
        <v>1</v>
      </c>
      <c r="N40" s="47"/>
      <c r="P40" s="63"/>
      <c r="Q40" s="47"/>
      <c r="S40" s="58">
        <f>ROUND((ROUND((_11_A通院１１．０*_11・２人),0)*(1+_11・A深夜)),0)+ROUND((_11_B通院１１．０＿２．０*_11・２人),0)</f>
        <v>1039</v>
      </c>
      <c r="T40" s="59"/>
    </row>
    <row r="41" spans="1:20" ht="16.5" customHeight="1" x14ac:dyDescent="0.2">
      <c r="A41" s="44">
        <v>16</v>
      </c>
      <c r="B41" s="53">
        <v>3717</v>
      </c>
      <c r="C41" s="69" t="s">
        <v>1137</v>
      </c>
      <c r="D41" s="124"/>
      <c r="F41" s="245"/>
      <c r="G41" s="246"/>
      <c r="H41" s="241" t="s">
        <v>398</v>
      </c>
      <c r="I41" s="60" t="s">
        <v>397</v>
      </c>
      <c r="J41" s="61">
        <v>0.7</v>
      </c>
      <c r="K41" s="55"/>
      <c r="L41" s="56"/>
      <c r="M41" s="57"/>
      <c r="N41" s="47"/>
      <c r="P41" s="63"/>
      <c r="Q41" s="47"/>
      <c r="S41" s="58">
        <f>ROUND((ROUND((_11_A通院１１．０*_11・基礎１),0)*(1+_11・A深夜)),0)+ROUND((_11_B通院１１．０＿２．０*_11・基礎１),0)</f>
        <v>728</v>
      </c>
      <c r="T41" s="59"/>
    </row>
    <row r="42" spans="1:20" ht="16.5" customHeight="1" x14ac:dyDescent="0.2">
      <c r="A42" s="44">
        <v>16</v>
      </c>
      <c r="B42" s="53">
        <v>3718</v>
      </c>
      <c r="C42" s="69" t="s">
        <v>1138</v>
      </c>
      <c r="D42" s="124"/>
      <c r="F42" s="84">
        <f>_11_B通院１１．０＿２．０</f>
        <v>433</v>
      </c>
      <c r="G42" s="25" t="s">
        <v>394</v>
      </c>
      <c r="H42" s="257"/>
      <c r="I42" s="49"/>
      <c r="J42" s="50"/>
      <c r="K42" s="55" t="s">
        <v>396</v>
      </c>
      <c r="L42" s="56" t="s">
        <v>397</v>
      </c>
      <c r="M42" s="57">
        <v>1</v>
      </c>
      <c r="N42" s="47"/>
      <c r="P42" s="63"/>
      <c r="Q42" s="54"/>
      <c r="R42" s="49"/>
      <c r="S42" s="58">
        <f>ROUND((ROUND((ROUND((_11_A通院１１．０*_11・基礎１),0)*_11・２人),0)*(1+_11・A深夜)),0)+ROUND((ROUND((_11_B通院１１．０＿２．０*_11・基礎１),0)*_11・２人),0)</f>
        <v>728</v>
      </c>
      <c r="T42" s="59"/>
    </row>
    <row r="43" spans="1:20" ht="16.5" customHeight="1" x14ac:dyDescent="0.2">
      <c r="A43" s="44">
        <v>16</v>
      </c>
      <c r="B43" s="44">
        <v>3719</v>
      </c>
      <c r="C43" s="45" t="s">
        <v>1139</v>
      </c>
      <c r="D43" s="245" t="s">
        <v>1959</v>
      </c>
      <c r="E43" s="246"/>
      <c r="F43" s="245" t="s">
        <v>1975</v>
      </c>
      <c r="G43" s="246"/>
      <c r="H43" s="47"/>
      <c r="K43" s="48"/>
      <c r="L43" s="49"/>
      <c r="M43" s="50"/>
      <c r="N43" s="67"/>
      <c r="P43" s="63"/>
      <c r="Q43" s="47"/>
      <c r="S43" s="51">
        <f>ROUND((_11_A通院１１．５*(1+_11・A深夜)),0)+_11_B通院１１．５＿０．５</f>
        <v>963</v>
      </c>
      <c r="T43" s="52"/>
    </row>
    <row r="44" spans="1:20" ht="16.5" customHeight="1" x14ac:dyDescent="0.2">
      <c r="A44" s="44">
        <v>16</v>
      </c>
      <c r="B44" s="53">
        <v>3720</v>
      </c>
      <c r="C44" s="69" t="s">
        <v>1140</v>
      </c>
      <c r="D44" s="245"/>
      <c r="E44" s="246"/>
      <c r="F44" s="245"/>
      <c r="G44" s="246"/>
      <c r="H44" s="54"/>
      <c r="I44" s="49"/>
      <c r="J44" s="50"/>
      <c r="K44" s="55" t="s">
        <v>396</v>
      </c>
      <c r="L44" s="56" t="s">
        <v>397</v>
      </c>
      <c r="M44" s="57">
        <v>1</v>
      </c>
      <c r="N44" s="47"/>
      <c r="P44" s="248"/>
      <c r="Q44" s="47"/>
      <c r="S44" s="58">
        <f>ROUND((ROUND((_11_A通院１１．５*_11・２人),0)*(1+_11・A深夜)),0)+ROUND((_11_B通院１１．５＿０．５*_11・２人),0)</f>
        <v>963</v>
      </c>
      <c r="T44" s="59"/>
    </row>
    <row r="45" spans="1:20" ht="16.5" customHeight="1" x14ac:dyDescent="0.2">
      <c r="A45" s="44">
        <v>16</v>
      </c>
      <c r="B45" s="53">
        <v>3721</v>
      </c>
      <c r="C45" s="69" t="s">
        <v>1141</v>
      </c>
      <c r="D45" s="245"/>
      <c r="E45" s="246"/>
      <c r="F45" s="245"/>
      <c r="G45" s="246"/>
      <c r="H45" s="241" t="s">
        <v>398</v>
      </c>
      <c r="I45" s="60" t="s">
        <v>397</v>
      </c>
      <c r="J45" s="61">
        <v>0.7</v>
      </c>
      <c r="K45" s="55"/>
      <c r="L45" s="56"/>
      <c r="M45" s="57"/>
      <c r="N45" s="47"/>
      <c r="P45" s="248"/>
      <c r="Q45" s="47"/>
      <c r="S45" s="58">
        <f>ROUND((ROUND((_11_A通院１１．５*_11・基礎１),0)*(1+_11・A深夜)),0)+ROUND((_11_B通院１１．５＿０．５*_11・基礎１),0)</f>
        <v>674</v>
      </c>
      <c r="T45" s="59"/>
    </row>
    <row r="46" spans="1:20" ht="16.5" customHeight="1" x14ac:dyDescent="0.2">
      <c r="A46" s="44">
        <v>16</v>
      </c>
      <c r="B46" s="53">
        <v>3722</v>
      </c>
      <c r="C46" s="69" t="s">
        <v>1142</v>
      </c>
      <c r="D46" s="84">
        <f>_11_A通院１１．５</f>
        <v>587</v>
      </c>
      <c r="E46" s="25" t="s">
        <v>394</v>
      </c>
      <c r="F46" s="84">
        <f>_11_B通院１１．５＿０．５</f>
        <v>82</v>
      </c>
      <c r="G46" s="25" t="s">
        <v>394</v>
      </c>
      <c r="H46" s="257"/>
      <c r="I46" s="49"/>
      <c r="J46" s="50"/>
      <c r="K46" s="55" t="s">
        <v>396</v>
      </c>
      <c r="L46" s="56" t="s">
        <v>397</v>
      </c>
      <c r="M46" s="57">
        <v>1</v>
      </c>
      <c r="N46" s="47"/>
      <c r="P46" s="63"/>
      <c r="Q46" s="54"/>
      <c r="R46" s="49"/>
      <c r="S46" s="58">
        <f>ROUND((ROUND((ROUND((_11_A通院１１．５*_11・基礎１),0)*_11・２人),0)*(1+_11・A深夜)),0)+ROUND((ROUND((_11_B通院１１．５＿０．５*_11・基礎１),0)*_11・２人),0)</f>
        <v>674</v>
      </c>
      <c r="T46" s="59"/>
    </row>
    <row r="47" spans="1:20" ht="16.5" customHeight="1" x14ac:dyDescent="0.2">
      <c r="A47" s="44">
        <v>16</v>
      </c>
      <c r="B47" s="53">
        <v>3723</v>
      </c>
      <c r="C47" s="69" t="s">
        <v>1143</v>
      </c>
      <c r="D47" s="124"/>
      <c r="F47" s="243" t="s">
        <v>1976</v>
      </c>
      <c r="G47" s="244"/>
      <c r="H47" s="62"/>
      <c r="I47" s="60"/>
      <c r="J47" s="61"/>
      <c r="K47" s="55"/>
      <c r="L47" s="56"/>
      <c r="M47" s="57"/>
      <c r="N47" s="47"/>
      <c r="P47" s="63"/>
      <c r="Q47" s="62"/>
      <c r="R47" s="60"/>
      <c r="S47" s="58">
        <f>ROUND((_11_A通院１１．５*(1+_11・A深夜)),0)+_11_B通院１１．５＿１．０</f>
        <v>1048</v>
      </c>
      <c r="T47" s="59"/>
    </row>
    <row r="48" spans="1:20" ht="16.5" customHeight="1" x14ac:dyDescent="0.2">
      <c r="A48" s="44">
        <v>16</v>
      </c>
      <c r="B48" s="53">
        <v>3724</v>
      </c>
      <c r="C48" s="69" t="s">
        <v>1144</v>
      </c>
      <c r="D48" s="124"/>
      <c r="F48" s="245"/>
      <c r="G48" s="246"/>
      <c r="H48" s="54"/>
      <c r="I48" s="49"/>
      <c r="J48" s="50"/>
      <c r="K48" s="55" t="s">
        <v>396</v>
      </c>
      <c r="L48" s="56" t="s">
        <v>397</v>
      </c>
      <c r="M48" s="57">
        <v>1</v>
      </c>
      <c r="N48" s="47"/>
      <c r="P48" s="63"/>
      <c r="Q48" s="47"/>
      <c r="S48" s="58">
        <f>ROUND((ROUND((_11_A通院１１．５*_11・２人),0)*(1+_11・A深夜)),0)+ROUND((_11_B通院１１．５＿１．０*_11・２人),0)</f>
        <v>1048</v>
      </c>
      <c r="T48" s="59"/>
    </row>
    <row r="49" spans="1:20" ht="16.5" customHeight="1" x14ac:dyDescent="0.2">
      <c r="A49" s="44">
        <v>16</v>
      </c>
      <c r="B49" s="53">
        <v>3725</v>
      </c>
      <c r="C49" s="69" t="s">
        <v>1145</v>
      </c>
      <c r="D49" s="124"/>
      <c r="F49" s="245"/>
      <c r="G49" s="246"/>
      <c r="H49" s="241" t="s">
        <v>398</v>
      </c>
      <c r="I49" s="60" t="s">
        <v>397</v>
      </c>
      <c r="J49" s="61">
        <v>0.7</v>
      </c>
      <c r="K49" s="55"/>
      <c r="L49" s="56"/>
      <c r="M49" s="57"/>
      <c r="N49" s="47"/>
      <c r="P49" s="63"/>
      <c r="Q49" s="47"/>
      <c r="S49" s="58">
        <f>ROUND((ROUND((_11_A通院１１．５*_11・基礎１),0)*(1+_11・A深夜)),0)+ROUND((_11_B通院１１．５＿１．０*_11・基礎１),0)</f>
        <v>734</v>
      </c>
      <c r="T49" s="59"/>
    </row>
    <row r="50" spans="1:20" ht="16.5" customHeight="1" x14ac:dyDescent="0.2">
      <c r="A50" s="44">
        <v>16</v>
      </c>
      <c r="B50" s="53">
        <v>3726</v>
      </c>
      <c r="C50" s="69" t="s">
        <v>1146</v>
      </c>
      <c r="D50" s="124"/>
      <c r="F50" s="84">
        <f>_11_B通院１１．５＿１．０</f>
        <v>167</v>
      </c>
      <c r="G50" s="25" t="s">
        <v>394</v>
      </c>
      <c r="H50" s="257"/>
      <c r="I50" s="49"/>
      <c r="J50" s="50"/>
      <c r="K50" s="55" t="s">
        <v>396</v>
      </c>
      <c r="L50" s="56" t="s">
        <v>397</v>
      </c>
      <c r="M50" s="57">
        <v>1</v>
      </c>
      <c r="N50" s="47"/>
      <c r="P50" s="63"/>
      <c r="Q50" s="54"/>
      <c r="R50" s="49"/>
      <c r="S50" s="58">
        <f>ROUND((ROUND((ROUND((_11_A通院１１．５*_11・基礎１),0)*_11・２人),0)*(1+_11・A深夜)),0)+ROUND((ROUND((_11_B通院１１．５＿１．０*_11・基礎１),0)*_11・２人),0)</f>
        <v>734</v>
      </c>
      <c r="T50" s="59"/>
    </row>
    <row r="51" spans="1:20" ht="16.5" customHeight="1" x14ac:dyDescent="0.2">
      <c r="A51" s="44">
        <v>16</v>
      </c>
      <c r="B51" s="53">
        <v>3727</v>
      </c>
      <c r="C51" s="69" t="s">
        <v>1147</v>
      </c>
      <c r="D51" s="124"/>
      <c r="F51" s="243" t="s">
        <v>1977</v>
      </c>
      <c r="G51" s="244"/>
      <c r="H51" s="62"/>
      <c r="I51" s="60"/>
      <c r="J51" s="61"/>
      <c r="K51" s="55"/>
      <c r="L51" s="56"/>
      <c r="M51" s="57"/>
      <c r="N51" s="47"/>
      <c r="P51" s="63"/>
      <c r="Q51" s="62"/>
      <c r="R51" s="60"/>
      <c r="S51" s="58">
        <f>ROUND((_11_A通院１１．５*(1+_11・A深夜)),0)+_11_B通院１１．５＿１．５</f>
        <v>1131</v>
      </c>
      <c r="T51" s="59"/>
    </row>
    <row r="52" spans="1:20" ht="16.5" customHeight="1" x14ac:dyDescent="0.2">
      <c r="A52" s="44">
        <v>16</v>
      </c>
      <c r="B52" s="53">
        <v>3728</v>
      </c>
      <c r="C52" s="69" t="s">
        <v>1148</v>
      </c>
      <c r="D52" s="124"/>
      <c r="F52" s="245"/>
      <c r="G52" s="246"/>
      <c r="H52" s="54"/>
      <c r="I52" s="49"/>
      <c r="J52" s="50"/>
      <c r="K52" s="55" t="s">
        <v>396</v>
      </c>
      <c r="L52" s="56" t="s">
        <v>397</v>
      </c>
      <c r="M52" s="57">
        <v>1</v>
      </c>
      <c r="N52" s="47"/>
      <c r="P52" s="63"/>
      <c r="Q52" s="47"/>
      <c r="S52" s="58">
        <f>ROUND((ROUND((_11_A通院１１．５*_11・２人),0)*(1+_11・A深夜)),0)+ROUND((_11_B通院１１．５＿１．５*_11・２人),0)</f>
        <v>1131</v>
      </c>
      <c r="T52" s="59"/>
    </row>
    <row r="53" spans="1:20" ht="16.5" customHeight="1" x14ac:dyDescent="0.2">
      <c r="A53" s="44">
        <v>16</v>
      </c>
      <c r="B53" s="53">
        <v>3729</v>
      </c>
      <c r="C53" s="69" t="s">
        <v>1149</v>
      </c>
      <c r="D53" s="124"/>
      <c r="F53" s="245"/>
      <c r="G53" s="246"/>
      <c r="H53" s="241" t="s">
        <v>398</v>
      </c>
      <c r="I53" s="60" t="s">
        <v>397</v>
      </c>
      <c r="J53" s="61">
        <v>0.7</v>
      </c>
      <c r="K53" s="55"/>
      <c r="L53" s="56"/>
      <c r="M53" s="57"/>
      <c r="N53" s="47"/>
      <c r="P53" s="63"/>
      <c r="Q53" s="47"/>
      <c r="S53" s="58">
        <f>ROUND((ROUND((_11_A通院１１．５*_11・基礎１),0)*(1+_11・A深夜)),0)+ROUND((_11_B通院１１．５＿１．５*_11・基礎１),0)</f>
        <v>792</v>
      </c>
      <c r="T53" s="59"/>
    </row>
    <row r="54" spans="1:20" ht="16.5" customHeight="1" x14ac:dyDescent="0.2">
      <c r="A54" s="44">
        <v>16</v>
      </c>
      <c r="B54" s="53">
        <v>3730</v>
      </c>
      <c r="C54" s="69" t="s">
        <v>1150</v>
      </c>
      <c r="D54" s="124"/>
      <c r="F54" s="84">
        <f>_11_B通院１１．５＿１．５</f>
        <v>250</v>
      </c>
      <c r="G54" s="25" t="s">
        <v>394</v>
      </c>
      <c r="H54" s="257"/>
      <c r="I54" s="49"/>
      <c r="J54" s="50"/>
      <c r="K54" s="55" t="s">
        <v>396</v>
      </c>
      <c r="L54" s="56" t="s">
        <v>397</v>
      </c>
      <c r="M54" s="57">
        <v>1</v>
      </c>
      <c r="N54" s="47"/>
      <c r="P54" s="63"/>
      <c r="Q54" s="54"/>
      <c r="R54" s="49"/>
      <c r="S54" s="58">
        <f>ROUND((ROUND((ROUND((_11_A通院１１．５*_11・基礎１),0)*_11・２人),0)*(1+_11・A深夜)),0)+ROUND((ROUND((_11_B通院１１．５＿１．５*_11・基礎１),0)*_11・２人),0)</f>
        <v>792</v>
      </c>
      <c r="T54" s="59"/>
    </row>
    <row r="55" spans="1:20" ht="16.5" customHeight="1" x14ac:dyDescent="0.2">
      <c r="A55" s="44">
        <v>16</v>
      </c>
      <c r="B55" s="53">
        <v>3731</v>
      </c>
      <c r="C55" s="69" t="s">
        <v>1151</v>
      </c>
      <c r="D55" s="243" t="s">
        <v>1960</v>
      </c>
      <c r="E55" s="244"/>
      <c r="F55" s="243" t="s">
        <v>1975</v>
      </c>
      <c r="G55" s="244"/>
      <c r="H55" s="62"/>
      <c r="I55" s="60"/>
      <c r="J55" s="61"/>
      <c r="K55" s="55"/>
      <c r="L55" s="56"/>
      <c r="M55" s="57"/>
      <c r="N55" s="47"/>
      <c r="P55" s="63"/>
      <c r="Q55" s="62"/>
      <c r="R55" s="60"/>
      <c r="S55" s="58">
        <f>ROUND((_11_A通院１２．０*(1+_11・A深夜)),0)+_11_B通院１２．０＿０．５</f>
        <v>1089</v>
      </c>
      <c r="T55" s="59"/>
    </row>
    <row r="56" spans="1:20" ht="16.5" customHeight="1" x14ac:dyDescent="0.2">
      <c r="A56" s="44">
        <v>16</v>
      </c>
      <c r="B56" s="53">
        <v>3732</v>
      </c>
      <c r="C56" s="69" t="s">
        <v>1152</v>
      </c>
      <c r="D56" s="245"/>
      <c r="E56" s="246"/>
      <c r="F56" s="245"/>
      <c r="G56" s="246"/>
      <c r="H56" s="54"/>
      <c r="I56" s="49"/>
      <c r="J56" s="50"/>
      <c r="K56" s="55" t="s">
        <v>396</v>
      </c>
      <c r="L56" s="56" t="s">
        <v>397</v>
      </c>
      <c r="M56" s="57">
        <v>1</v>
      </c>
      <c r="N56" s="47"/>
      <c r="P56" s="63"/>
      <c r="Q56" s="47"/>
      <c r="S56" s="58">
        <f>ROUND((ROUND((_11_A通院１２．０*_11・２人),0)*(1+_11・A深夜)),0)+ROUND((_11_B通院１２．０＿０．５*_11・２人),0)</f>
        <v>1089</v>
      </c>
      <c r="T56" s="59"/>
    </row>
    <row r="57" spans="1:20" ht="16.5" customHeight="1" x14ac:dyDescent="0.2">
      <c r="A57" s="44">
        <v>16</v>
      </c>
      <c r="B57" s="53">
        <v>3733</v>
      </c>
      <c r="C57" s="69" t="s">
        <v>1153</v>
      </c>
      <c r="D57" s="245"/>
      <c r="E57" s="246"/>
      <c r="F57" s="245"/>
      <c r="G57" s="246"/>
      <c r="H57" s="241" t="s">
        <v>398</v>
      </c>
      <c r="I57" s="60" t="s">
        <v>397</v>
      </c>
      <c r="J57" s="61">
        <v>0.7</v>
      </c>
      <c r="K57" s="55"/>
      <c r="L57" s="56"/>
      <c r="M57" s="57"/>
      <c r="N57" s="47"/>
      <c r="P57" s="63"/>
      <c r="Q57" s="47"/>
      <c r="S57" s="58">
        <f>ROUND((ROUND((_11_A通院１２．０*_11・基礎１),0)*(1+_11・A深夜)),0)+ROUND((_11_B通院１２．０＿０．５*_11・基礎１),0)</f>
        <v>762</v>
      </c>
      <c r="T57" s="59"/>
    </row>
    <row r="58" spans="1:20" ht="16.5" customHeight="1" x14ac:dyDescent="0.2">
      <c r="A58" s="44">
        <v>16</v>
      </c>
      <c r="B58" s="53">
        <v>3734</v>
      </c>
      <c r="C58" s="69" t="s">
        <v>1154</v>
      </c>
      <c r="D58" s="84">
        <f>_11_A通院１２．０</f>
        <v>669</v>
      </c>
      <c r="E58" s="25" t="s">
        <v>394</v>
      </c>
      <c r="F58" s="84">
        <f>_11_B通院１２．０＿０．５</f>
        <v>85</v>
      </c>
      <c r="G58" s="25" t="s">
        <v>394</v>
      </c>
      <c r="H58" s="257"/>
      <c r="I58" s="49"/>
      <c r="J58" s="50"/>
      <c r="K58" s="55" t="s">
        <v>396</v>
      </c>
      <c r="L58" s="56" t="s">
        <v>397</v>
      </c>
      <c r="M58" s="57">
        <v>1</v>
      </c>
      <c r="N58" s="47"/>
      <c r="P58" s="63"/>
      <c r="Q58" s="54"/>
      <c r="R58" s="49"/>
      <c r="S58" s="58">
        <f>ROUND((ROUND((ROUND((_11_A通院１２．０*_11・基礎１),0)*_11・２人),0)*(1+_11・A深夜)),0)+ROUND((ROUND((_11_B通院１２．０＿０．５*_11・基礎１),0)*_11・２人),0)</f>
        <v>762</v>
      </c>
      <c r="T58" s="59"/>
    </row>
    <row r="59" spans="1:20" ht="16.5" customHeight="1" x14ac:dyDescent="0.2">
      <c r="A59" s="44">
        <v>16</v>
      </c>
      <c r="B59" s="53">
        <v>3735</v>
      </c>
      <c r="C59" s="69" t="s">
        <v>1155</v>
      </c>
      <c r="D59" s="124"/>
      <c r="F59" s="243" t="s">
        <v>1976</v>
      </c>
      <c r="G59" s="244"/>
      <c r="H59" s="62"/>
      <c r="I59" s="60"/>
      <c r="J59" s="61"/>
      <c r="K59" s="55"/>
      <c r="L59" s="56"/>
      <c r="M59" s="57"/>
      <c r="N59" s="47"/>
      <c r="P59" s="63"/>
      <c r="Q59" s="62"/>
      <c r="R59" s="60"/>
      <c r="S59" s="58">
        <f>ROUND((_11_A通院１２．０*(1+_11・A深夜)),0)+_11_B通院１２．０＿１．０</f>
        <v>1172</v>
      </c>
      <c r="T59" s="59"/>
    </row>
    <row r="60" spans="1:20" ht="16.5" customHeight="1" x14ac:dyDescent="0.2">
      <c r="A60" s="44">
        <v>16</v>
      </c>
      <c r="B60" s="53">
        <v>3736</v>
      </c>
      <c r="C60" s="69" t="s">
        <v>1156</v>
      </c>
      <c r="D60" s="124"/>
      <c r="F60" s="245"/>
      <c r="G60" s="246"/>
      <c r="H60" s="54"/>
      <c r="I60" s="49"/>
      <c r="J60" s="50"/>
      <c r="K60" s="55" t="s">
        <v>396</v>
      </c>
      <c r="L60" s="56" t="s">
        <v>397</v>
      </c>
      <c r="M60" s="57">
        <v>1</v>
      </c>
      <c r="N60" s="47"/>
      <c r="P60" s="63"/>
      <c r="Q60" s="47"/>
      <c r="S60" s="58">
        <f>ROUND((ROUND((_11_A通院１２．０*_11・２人),0)*(1+_11・A深夜)),0)+ROUND((_11_B通院１２．０＿１．０*_11・２人),0)</f>
        <v>1172</v>
      </c>
      <c r="T60" s="59"/>
    </row>
    <row r="61" spans="1:20" ht="16.5" customHeight="1" x14ac:dyDescent="0.2">
      <c r="A61" s="44">
        <v>16</v>
      </c>
      <c r="B61" s="53">
        <v>3737</v>
      </c>
      <c r="C61" s="69" t="s">
        <v>1157</v>
      </c>
      <c r="D61" s="124"/>
      <c r="F61" s="245"/>
      <c r="G61" s="246"/>
      <c r="H61" s="241" t="s">
        <v>398</v>
      </c>
      <c r="I61" s="60" t="s">
        <v>397</v>
      </c>
      <c r="J61" s="61">
        <v>0.7</v>
      </c>
      <c r="K61" s="55"/>
      <c r="L61" s="56"/>
      <c r="M61" s="57"/>
      <c r="N61" s="47"/>
      <c r="P61" s="63"/>
      <c r="Q61" s="47"/>
      <c r="S61" s="58">
        <f>ROUND((ROUND((_11_A通院１２．０*_11・基礎１),0)*(1+_11・A深夜)),0)+ROUND((_11_B通院１２．０＿１．０*_11・基礎１),0)</f>
        <v>820</v>
      </c>
      <c r="T61" s="59"/>
    </row>
    <row r="62" spans="1:20" ht="16.5" customHeight="1" x14ac:dyDescent="0.2">
      <c r="A62" s="44">
        <v>16</v>
      </c>
      <c r="B62" s="53">
        <v>3738</v>
      </c>
      <c r="C62" s="69" t="s">
        <v>1158</v>
      </c>
      <c r="D62" s="124"/>
      <c r="F62" s="84">
        <f>_11_B通院１２．０＿１．０</f>
        <v>168</v>
      </c>
      <c r="G62" s="25" t="s">
        <v>394</v>
      </c>
      <c r="H62" s="257"/>
      <c r="I62" s="49"/>
      <c r="J62" s="50"/>
      <c r="K62" s="55" t="s">
        <v>396</v>
      </c>
      <c r="L62" s="56" t="s">
        <v>397</v>
      </c>
      <c r="M62" s="57">
        <v>1</v>
      </c>
      <c r="N62" s="47"/>
      <c r="P62" s="63"/>
      <c r="Q62" s="54"/>
      <c r="R62" s="49"/>
      <c r="S62" s="58">
        <f>ROUND((ROUND((ROUND((_11_A通院１２．０*_11・基礎１),0)*_11・２人),0)*(1+_11・A深夜)),0)+ROUND((ROUND((_11_B通院１２．０＿１．０*_11・基礎１),0)*_11・２人),0)</f>
        <v>820</v>
      </c>
      <c r="T62" s="59"/>
    </row>
    <row r="63" spans="1:20" ht="16.5" customHeight="1" x14ac:dyDescent="0.2">
      <c r="A63" s="44">
        <v>16</v>
      </c>
      <c r="B63" s="53">
        <v>3739</v>
      </c>
      <c r="C63" s="69" t="s">
        <v>1159</v>
      </c>
      <c r="D63" s="243" t="s">
        <v>1961</v>
      </c>
      <c r="E63" s="244"/>
      <c r="F63" s="243" t="s">
        <v>1975</v>
      </c>
      <c r="G63" s="244"/>
      <c r="H63" s="62"/>
      <c r="I63" s="60"/>
      <c r="J63" s="61"/>
      <c r="K63" s="55"/>
      <c r="L63" s="56"/>
      <c r="M63" s="57"/>
      <c r="N63" s="47"/>
      <c r="O63" s="176"/>
      <c r="P63" s="63"/>
      <c r="Q63" s="62"/>
      <c r="R63" s="60"/>
      <c r="S63" s="58">
        <f>ROUND((_11_A通院１２．５*(1+_11・A深夜)),0)+_11_B通院１２．５＿０．５</f>
        <v>1214</v>
      </c>
      <c r="T63" s="59"/>
    </row>
    <row r="64" spans="1:20" ht="16.5" customHeight="1" x14ac:dyDescent="0.2">
      <c r="A64" s="44">
        <v>16</v>
      </c>
      <c r="B64" s="53">
        <v>3740</v>
      </c>
      <c r="C64" s="69" t="s">
        <v>1160</v>
      </c>
      <c r="D64" s="245"/>
      <c r="E64" s="246"/>
      <c r="F64" s="245"/>
      <c r="G64" s="246"/>
      <c r="H64" s="54"/>
      <c r="I64" s="49"/>
      <c r="J64" s="50"/>
      <c r="K64" s="55" t="s">
        <v>396</v>
      </c>
      <c r="L64" s="56" t="s">
        <v>397</v>
      </c>
      <c r="M64" s="57">
        <v>1</v>
      </c>
      <c r="N64" s="47"/>
      <c r="O64" s="176"/>
      <c r="P64" s="63"/>
      <c r="Q64" s="47"/>
      <c r="R64" s="175"/>
      <c r="S64" s="58">
        <f>ROUND((ROUND((_11_A通院１２．５*_11・２人),0)*(1+_11・A深夜)),0)+ROUND((_11_B通院１２．５＿０．５*_11・２人),0)</f>
        <v>1214</v>
      </c>
      <c r="T64" s="59"/>
    </row>
    <row r="65" spans="1:20" ht="16.5" customHeight="1" x14ac:dyDescent="0.2">
      <c r="A65" s="44">
        <v>16</v>
      </c>
      <c r="B65" s="53">
        <v>3741</v>
      </c>
      <c r="C65" s="69" t="s">
        <v>1161</v>
      </c>
      <c r="D65" s="245"/>
      <c r="E65" s="246"/>
      <c r="F65" s="245"/>
      <c r="G65" s="246"/>
      <c r="H65" s="241" t="s">
        <v>398</v>
      </c>
      <c r="I65" s="60" t="s">
        <v>397</v>
      </c>
      <c r="J65" s="61">
        <v>0.7</v>
      </c>
      <c r="K65" s="55"/>
      <c r="L65" s="56"/>
      <c r="M65" s="57"/>
      <c r="N65" s="47"/>
      <c r="O65" s="176"/>
      <c r="P65" s="63"/>
      <c r="Q65" s="47"/>
      <c r="R65" s="175"/>
      <c r="S65" s="58">
        <f>ROUND((ROUND((_11_A通院１２．５*_11・基礎１),0)*(1+_11・A深夜)),0)+ROUND((_11_B通院１２．５＿０．５*_11・基礎１),0)</f>
        <v>850</v>
      </c>
      <c r="T65" s="59"/>
    </row>
    <row r="66" spans="1:20" ht="16.5" customHeight="1" x14ac:dyDescent="0.2">
      <c r="A66" s="44">
        <v>16</v>
      </c>
      <c r="B66" s="53">
        <v>3742</v>
      </c>
      <c r="C66" s="69" t="s">
        <v>1162</v>
      </c>
      <c r="D66" s="110">
        <f>_11_A通院１２．５</f>
        <v>754</v>
      </c>
      <c r="E66" s="49" t="s">
        <v>394</v>
      </c>
      <c r="F66" s="110">
        <f>_11_B通院１２．５＿０．５</f>
        <v>83</v>
      </c>
      <c r="G66" s="49" t="s">
        <v>394</v>
      </c>
      <c r="H66" s="257"/>
      <c r="I66" s="49"/>
      <c r="J66" s="50"/>
      <c r="K66" s="55" t="s">
        <v>396</v>
      </c>
      <c r="L66" s="56" t="s">
        <v>397</v>
      </c>
      <c r="M66" s="57">
        <v>1</v>
      </c>
      <c r="N66" s="54"/>
      <c r="O66" s="50"/>
      <c r="P66" s="97"/>
      <c r="Q66" s="54"/>
      <c r="R66" s="49"/>
      <c r="S66" s="58">
        <f>ROUND((ROUND((ROUND((_11_A通院１２．５*_11・基礎１),0)*_11・２人),0)*(1+_11・A深夜)),0)+ROUND((ROUND((_11_B通院１２．５＿０．５*_11・基礎１),0)*_11・２人),0)</f>
        <v>850</v>
      </c>
      <c r="T66" s="111"/>
    </row>
    <row r="67" spans="1:20" ht="16.5" customHeight="1" x14ac:dyDescent="0.2"/>
    <row r="68" spans="1:20" ht="16.5" customHeight="1" x14ac:dyDescent="0.2"/>
  </sheetData>
  <mergeCells count="37">
    <mergeCell ref="D7:E9"/>
    <mergeCell ref="F7:G9"/>
    <mergeCell ref="P8:P9"/>
    <mergeCell ref="H9:H10"/>
    <mergeCell ref="F19:G21"/>
    <mergeCell ref="H21:H22"/>
    <mergeCell ref="F11:G13"/>
    <mergeCell ref="H13:H14"/>
    <mergeCell ref="F15:G17"/>
    <mergeCell ref="H17:H18"/>
    <mergeCell ref="F23:G25"/>
    <mergeCell ref="H25:H26"/>
    <mergeCell ref="D27:E29"/>
    <mergeCell ref="F27:G29"/>
    <mergeCell ref="H29:H30"/>
    <mergeCell ref="F35:G37"/>
    <mergeCell ref="H37:H38"/>
    <mergeCell ref="F39:G41"/>
    <mergeCell ref="H41:H42"/>
    <mergeCell ref="F31:G33"/>
    <mergeCell ref="H33:H34"/>
    <mergeCell ref="F47:G49"/>
    <mergeCell ref="H49:H50"/>
    <mergeCell ref="D43:E45"/>
    <mergeCell ref="F43:G45"/>
    <mergeCell ref="P44:P45"/>
    <mergeCell ref="H45:H46"/>
    <mergeCell ref="F51:G53"/>
    <mergeCell ref="H53:H54"/>
    <mergeCell ref="D55:E57"/>
    <mergeCell ref="F55:G57"/>
    <mergeCell ref="H57:H58"/>
    <mergeCell ref="D63:E65"/>
    <mergeCell ref="F63:G65"/>
    <mergeCell ref="H65:H66"/>
    <mergeCell ref="F59:G61"/>
    <mergeCell ref="H61:H6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87"/>
  <sheetViews>
    <sheetView workbookViewId="0"/>
  </sheetViews>
  <sheetFormatPr defaultColWidth="8.90625" defaultRowHeight="14" x14ac:dyDescent="0.2"/>
  <cols>
    <col min="1" max="1" width="4.6328125" style="22" customWidth="1"/>
    <col min="2" max="2" width="7.6328125" style="22" customWidth="1"/>
    <col min="3" max="3" width="48.453125" style="23" bestFit="1" customWidth="1"/>
    <col min="4" max="4" width="4.90625" style="23" customWidth="1"/>
    <col min="5" max="5" width="4.453125" style="90" bestFit="1" customWidth="1"/>
    <col min="6" max="6" width="4.90625" style="23" customWidth="1"/>
    <col min="7" max="7" width="4.453125" style="90" bestFit="1" customWidth="1"/>
    <col min="8" max="8" width="4.90625" style="23" customWidth="1"/>
    <col min="9" max="9" width="4.453125" style="90" bestFit="1" customWidth="1"/>
    <col min="10" max="10" width="11.90625" style="25" customWidth="1"/>
    <col min="11" max="11" width="3.453125" style="25" bestFit="1" customWidth="1"/>
    <col min="12" max="12" width="4.453125" style="26" bestFit="1" customWidth="1"/>
    <col min="13" max="13" width="24.90625" style="27" bestFit="1" customWidth="1"/>
    <col min="14" max="14" width="3.453125" style="25" bestFit="1" customWidth="1"/>
    <col min="15" max="15" width="5.453125" style="26" bestFit="1" customWidth="1"/>
    <col min="16" max="16" width="3.453125" style="25" bestFit="1" customWidth="1"/>
    <col min="17" max="17" width="4.453125" style="26" bestFit="1" customWidth="1"/>
    <col min="18" max="18" width="5.36328125" style="25" bestFit="1" customWidth="1"/>
    <col min="19" max="19" width="3.453125" style="25" bestFit="1" customWidth="1"/>
    <col min="20" max="20" width="4.453125" style="26" bestFit="1" customWidth="1"/>
    <col min="21" max="21" width="5.36328125" style="25" bestFit="1" customWidth="1"/>
    <col min="22" max="22" width="9.90625" style="25" customWidth="1"/>
    <col min="23" max="23" width="4.453125" style="25" bestFit="1" customWidth="1"/>
    <col min="24" max="24" width="7.08984375" style="28" customWidth="1"/>
    <col min="25" max="25" width="8.6328125" style="29" customWidth="1"/>
    <col min="26" max="16384" width="8.90625" style="25"/>
  </cols>
  <sheetData>
    <row r="1" spans="1:25" ht="17.149999999999999" customHeight="1" x14ac:dyDescent="0.2"/>
    <row r="2" spans="1:25" ht="17.149999999999999" customHeight="1" x14ac:dyDescent="0.2"/>
    <row r="3" spans="1:25" ht="17.149999999999999" customHeight="1" x14ac:dyDescent="0.2"/>
    <row r="4" spans="1:25" ht="17.149999999999999" customHeight="1" x14ac:dyDescent="0.2">
      <c r="B4" s="30" t="s">
        <v>1163</v>
      </c>
      <c r="D4" s="65"/>
    </row>
    <row r="5" spans="1:25" ht="16.5" customHeight="1" x14ac:dyDescent="0.2">
      <c r="A5" s="31" t="s">
        <v>386</v>
      </c>
      <c r="B5" s="32"/>
      <c r="C5" s="33" t="s">
        <v>387</v>
      </c>
      <c r="D5" s="34" t="s">
        <v>388</v>
      </c>
      <c r="E5" s="91"/>
      <c r="F5" s="34"/>
      <c r="G5" s="91"/>
      <c r="H5" s="34"/>
      <c r="I5" s="91"/>
      <c r="J5" s="34"/>
      <c r="K5" s="34"/>
      <c r="L5" s="35"/>
      <c r="M5" s="34"/>
      <c r="N5" s="34"/>
      <c r="O5" s="35"/>
      <c r="P5" s="34"/>
      <c r="Q5" s="35"/>
      <c r="R5" s="34"/>
      <c r="S5" s="34"/>
      <c r="T5" s="35"/>
      <c r="U5" s="34"/>
      <c r="V5" s="34"/>
      <c r="W5" s="34"/>
      <c r="X5" s="36" t="s">
        <v>389</v>
      </c>
      <c r="Y5" s="33" t="s">
        <v>390</v>
      </c>
    </row>
    <row r="6" spans="1:25" ht="16.5" customHeight="1" x14ac:dyDescent="0.2">
      <c r="A6" s="37" t="s">
        <v>391</v>
      </c>
      <c r="B6" s="37" t="s">
        <v>392</v>
      </c>
      <c r="C6" s="38"/>
      <c r="D6" s="40"/>
      <c r="E6" s="93"/>
      <c r="F6" s="77" t="s">
        <v>403</v>
      </c>
      <c r="G6" s="98"/>
      <c r="H6" s="77" t="s">
        <v>404</v>
      </c>
      <c r="I6" s="92"/>
      <c r="J6" s="40"/>
      <c r="K6" s="40"/>
      <c r="L6" s="41"/>
      <c r="M6" s="40"/>
      <c r="N6" s="40"/>
      <c r="O6" s="41"/>
      <c r="P6" s="40"/>
      <c r="Q6" s="41"/>
      <c r="R6" s="40"/>
      <c r="S6" s="40"/>
      <c r="T6" s="41"/>
      <c r="U6" s="40"/>
      <c r="V6" s="40"/>
      <c r="W6" s="40"/>
      <c r="X6" s="42" t="s">
        <v>393</v>
      </c>
      <c r="Y6" s="43" t="s">
        <v>394</v>
      </c>
    </row>
    <row r="7" spans="1:25" ht="16.5" customHeight="1" x14ac:dyDescent="0.2">
      <c r="A7" s="44">
        <v>16</v>
      </c>
      <c r="B7" s="44">
        <v>3743</v>
      </c>
      <c r="C7" s="45" t="s">
        <v>1164</v>
      </c>
      <c r="D7" s="245" t="s">
        <v>1923</v>
      </c>
      <c r="E7" s="246"/>
      <c r="F7" s="245" t="s">
        <v>2000</v>
      </c>
      <c r="G7" s="246"/>
      <c r="H7" s="245" t="s">
        <v>1986</v>
      </c>
      <c r="I7" s="246"/>
      <c r="J7" s="47"/>
      <c r="M7" s="48"/>
      <c r="N7" s="49"/>
      <c r="O7" s="50"/>
      <c r="P7" s="47" t="s">
        <v>408</v>
      </c>
      <c r="R7" s="63"/>
      <c r="S7" s="47" t="s">
        <v>409</v>
      </c>
      <c r="U7" s="63"/>
      <c r="V7" s="47"/>
      <c r="X7" s="51">
        <f>_11_A通院１０．５+ROUND((_11_B通院１０．５＿２．０*(1+_11・B夜間)),0)+ROUND((_11_C通院１０．５＿２．０＿０．５*(1+_11・C深夜)),0)</f>
        <v>1004</v>
      </c>
      <c r="Y7" s="52" t="s">
        <v>395</v>
      </c>
    </row>
    <row r="8" spans="1:25" ht="16.5" customHeight="1" x14ac:dyDescent="0.2">
      <c r="A8" s="44">
        <v>16</v>
      </c>
      <c r="B8" s="53">
        <v>3744</v>
      </c>
      <c r="C8" s="69" t="s">
        <v>1165</v>
      </c>
      <c r="D8" s="245"/>
      <c r="E8" s="246"/>
      <c r="F8" s="245"/>
      <c r="G8" s="246"/>
      <c r="H8" s="245"/>
      <c r="I8" s="246"/>
      <c r="J8" s="54"/>
      <c r="K8" s="49"/>
      <c r="L8" s="50"/>
      <c r="M8" s="55" t="s">
        <v>396</v>
      </c>
      <c r="N8" s="56" t="s">
        <v>397</v>
      </c>
      <c r="O8" s="57">
        <v>1</v>
      </c>
      <c r="P8" s="47" t="s">
        <v>397</v>
      </c>
      <c r="Q8" s="26">
        <v>0.25</v>
      </c>
      <c r="R8" s="248" t="s">
        <v>400</v>
      </c>
      <c r="S8" s="47" t="s">
        <v>397</v>
      </c>
      <c r="T8" s="26">
        <v>0.5</v>
      </c>
      <c r="U8" s="248" t="s">
        <v>400</v>
      </c>
      <c r="V8" s="47"/>
      <c r="X8" s="58">
        <f>ROUND((_11_A通院１０．５*_11・２人),0)+ROUND((ROUND((_11_B通院１０．５＿２．０*_11・２人),0)*(1+_11・B夜間)),0)+ROUND((ROUND((_11_C通院１０．５＿２．０＿０．５*_11・２人),0)*(1+_11・C深夜)),0)</f>
        <v>1004</v>
      </c>
      <c r="Y8" s="59"/>
    </row>
    <row r="9" spans="1:25" ht="16.5" customHeight="1" x14ac:dyDescent="0.2">
      <c r="A9" s="44">
        <v>16</v>
      </c>
      <c r="B9" s="53">
        <v>3745</v>
      </c>
      <c r="C9" s="69" t="s">
        <v>1166</v>
      </c>
      <c r="D9" s="245"/>
      <c r="E9" s="246"/>
      <c r="F9" s="245"/>
      <c r="G9" s="246"/>
      <c r="H9" s="245"/>
      <c r="I9" s="246"/>
      <c r="J9" s="258" t="s">
        <v>398</v>
      </c>
      <c r="K9" s="60" t="s">
        <v>397</v>
      </c>
      <c r="L9" s="61">
        <v>0.7</v>
      </c>
      <c r="M9" s="55"/>
      <c r="N9" s="56"/>
      <c r="O9" s="57"/>
      <c r="P9" s="47"/>
      <c r="R9" s="248"/>
      <c r="S9" s="47"/>
      <c r="U9" s="248"/>
      <c r="V9" s="47"/>
      <c r="X9" s="58">
        <f>ROUND((_11_A通院１０．５*_11・基礎１),0)+ROUND((ROUND((_11_B通院１０．５＿２．０*_11・基礎１),0)*(1+_11・B夜間)),0)+ROUND((ROUND((_11_C通院１０．５＿２．０＿０．５*_11・基礎１),0)*(1+_11・C深夜)),0)</f>
        <v>702</v>
      </c>
      <c r="Y9" s="59"/>
    </row>
    <row r="10" spans="1:25" ht="16.5" customHeight="1" x14ac:dyDescent="0.2">
      <c r="A10" s="44">
        <v>16</v>
      </c>
      <c r="B10" s="53">
        <v>3746</v>
      </c>
      <c r="C10" s="69" t="s">
        <v>1167</v>
      </c>
      <c r="D10" s="84">
        <f>_11_A通院１０．５</f>
        <v>256</v>
      </c>
      <c r="E10" s="83" t="s">
        <v>394</v>
      </c>
      <c r="F10" s="84">
        <f>_11_B通院１０．５＿２．０</f>
        <v>498</v>
      </c>
      <c r="G10" s="83" t="s">
        <v>394</v>
      </c>
      <c r="H10" s="84">
        <f>_11_C通院１０．５＿２．０＿０．５</f>
        <v>83</v>
      </c>
      <c r="I10" s="83" t="s">
        <v>394</v>
      </c>
      <c r="J10" s="257"/>
      <c r="K10" s="49"/>
      <c r="L10" s="50"/>
      <c r="M10" s="55" t="s">
        <v>396</v>
      </c>
      <c r="N10" s="56" t="s">
        <v>397</v>
      </c>
      <c r="O10" s="57">
        <v>1</v>
      </c>
      <c r="P10" s="47"/>
      <c r="R10" s="63"/>
      <c r="S10" s="47"/>
      <c r="U10" s="63"/>
      <c r="V10" s="54"/>
      <c r="W10" s="49"/>
      <c r="X10" s="58">
        <f>ROUND((ROUND((_11_A通院１０．５*_11・基礎１),0)*_11・２人),0)+ROUND((ROUND((ROUND((_11_B通院１０．５＿２．０*_11・基礎１),0)*_11・２人),0)*(1+_11・B夜間)),0)+ROUND((ROUND((ROUND((_11_C通院１０．５＿２．０＿０．５*_11・基礎１),0)*_11・２人),0)*(1+_11・C深夜)),0)</f>
        <v>702</v>
      </c>
      <c r="Y10" s="59"/>
    </row>
    <row r="11" spans="1:25" ht="16.5" customHeight="1" x14ac:dyDescent="0.2">
      <c r="A11" s="44">
        <v>16</v>
      </c>
      <c r="B11" s="53">
        <v>3747</v>
      </c>
      <c r="C11" s="69" t="s">
        <v>1168</v>
      </c>
      <c r="D11" s="67"/>
      <c r="E11" s="83"/>
      <c r="F11" s="243" t="s">
        <v>2001</v>
      </c>
      <c r="G11" s="244"/>
      <c r="H11" s="243" t="s">
        <v>1986</v>
      </c>
      <c r="I11" s="244"/>
      <c r="J11" s="62"/>
      <c r="K11" s="60"/>
      <c r="L11" s="61"/>
      <c r="M11" s="55"/>
      <c r="N11" s="56"/>
      <c r="O11" s="57"/>
      <c r="P11" s="47"/>
      <c r="R11" s="63"/>
      <c r="S11" s="47"/>
      <c r="U11" s="63"/>
      <c r="V11" s="62"/>
      <c r="W11" s="60"/>
      <c r="X11" s="58">
        <f>_11_A通院１０．５+ROUND((_11_B通院１０．５＿１．５*(1+_11・B夜間)),0)+ROUND((_11_C通院１０．５＿１．５＿０．５*(1+_11・C深夜)),0)</f>
        <v>900</v>
      </c>
      <c r="Y11" s="59"/>
    </row>
    <row r="12" spans="1:25" ht="16.5" customHeight="1" x14ac:dyDescent="0.2">
      <c r="A12" s="44">
        <v>16</v>
      </c>
      <c r="B12" s="53">
        <v>3748</v>
      </c>
      <c r="C12" s="69" t="s">
        <v>1169</v>
      </c>
      <c r="D12" s="67"/>
      <c r="E12" s="83"/>
      <c r="F12" s="245"/>
      <c r="G12" s="246"/>
      <c r="H12" s="245"/>
      <c r="I12" s="246"/>
      <c r="J12" s="54"/>
      <c r="K12" s="49"/>
      <c r="L12" s="50"/>
      <c r="M12" s="55" t="s">
        <v>396</v>
      </c>
      <c r="N12" s="56" t="s">
        <v>397</v>
      </c>
      <c r="O12" s="57">
        <v>1</v>
      </c>
      <c r="P12" s="47"/>
      <c r="R12" s="63"/>
      <c r="S12" s="47"/>
      <c r="U12" s="63"/>
      <c r="V12" s="47"/>
      <c r="X12" s="58">
        <f>ROUND((_11_A通院１０．５*_11・２人),0)+ROUND((ROUND((_11_B通院１０．５＿１．５*_11・２人),0)*(1+_11・B夜間)),0)+ROUND((ROUND((_11_C通院１０．５＿１．５＿０．５*_11・２人),0)*(1+_11・C深夜)),0)</f>
        <v>900</v>
      </c>
      <c r="Y12" s="59"/>
    </row>
    <row r="13" spans="1:25" ht="16.5" customHeight="1" x14ac:dyDescent="0.2">
      <c r="A13" s="44">
        <v>16</v>
      </c>
      <c r="B13" s="53">
        <v>3749</v>
      </c>
      <c r="C13" s="69" t="s">
        <v>1170</v>
      </c>
      <c r="D13" s="67"/>
      <c r="E13" s="83"/>
      <c r="F13" s="245"/>
      <c r="G13" s="246"/>
      <c r="H13" s="245"/>
      <c r="I13" s="246"/>
      <c r="J13" s="258" t="s">
        <v>398</v>
      </c>
      <c r="K13" s="60" t="s">
        <v>397</v>
      </c>
      <c r="L13" s="61">
        <v>0.7</v>
      </c>
      <c r="M13" s="55"/>
      <c r="N13" s="56"/>
      <c r="O13" s="57"/>
      <c r="P13" s="47"/>
      <c r="R13" s="63"/>
      <c r="S13" s="47"/>
      <c r="U13" s="63"/>
      <c r="V13" s="47"/>
      <c r="X13" s="58">
        <f>ROUND((_11_A通院１０．５*_11・基礎１),0)+ROUND((ROUND((_11_B通院１０．５＿１．５*_11・基礎１),0)*(1+_11・B夜間)),0)+ROUND((ROUND((_11_C通院１０．５＿１．５＿０．５*_11・基礎１),0)*(1+_11・C深夜)),0)</f>
        <v>630</v>
      </c>
      <c r="Y13" s="59"/>
    </row>
    <row r="14" spans="1:25" ht="16.5" customHeight="1" x14ac:dyDescent="0.2">
      <c r="A14" s="44">
        <v>16</v>
      </c>
      <c r="B14" s="53">
        <v>3750</v>
      </c>
      <c r="C14" s="69" t="s">
        <v>1171</v>
      </c>
      <c r="D14" s="67"/>
      <c r="E14" s="83"/>
      <c r="F14" s="84">
        <f>_11_B通院１０．５＿１．５</f>
        <v>413</v>
      </c>
      <c r="G14" s="83" t="s">
        <v>394</v>
      </c>
      <c r="H14" s="84">
        <f>_11_C通院１０．５＿１．５＿０．５</f>
        <v>85</v>
      </c>
      <c r="I14" s="83" t="s">
        <v>394</v>
      </c>
      <c r="J14" s="257"/>
      <c r="K14" s="49"/>
      <c r="L14" s="50"/>
      <c r="M14" s="55" t="s">
        <v>396</v>
      </c>
      <c r="N14" s="56" t="s">
        <v>397</v>
      </c>
      <c r="O14" s="57">
        <v>1</v>
      </c>
      <c r="P14" s="47"/>
      <c r="R14" s="63"/>
      <c r="S14" s="47"/>
      <c r="U14" s="63"/>
      <c r="V14" s="54"/>
      <c r="W14" s="49"/>
      <c r="X14" s="58">
        <f>ROUND((ROUND((_11_A通院１０．５*_11・基礎１),0)*_11・２人),0)+ROUND((ROUND((ROUND((_11_B通院１０．５＿１．５*_11・基礎１),0)*_11・２人),0)*(1+_11・B夜間)),0)+ROUND((ROUND((ROUND((_11_C通院１０．５＿１．５＿０．５*_11・基礎１),0)*_11・２人),0)*(1+_11・C深夜)),0)</f>
        <v>630</v>
      </c>
      <c r="Y14" s="59"/>
    </row>
    <row r="15" spans="1:25" ht="16.5" customHeight="1" x14ac:dyDescent="0.2">
      <c r="A15" s="44">
        <v>16</v>
      </c>
      <c r="B15" s="53">
        <v>3751</v>
      </c>
      <c r="C15" s="69" t="s">
        <v>1172</v>
      </c>
      <c r="D15" s="67"/>
      <c r="E15" s="83"/>
      <c r="F15" s="67"/>
      <c r="G15" s="83"/>
      <c r="H15" s="243" t="s">
        <v>1987</v>
      </c>
      <c r="I15" s="244"/>
      <c r="J15" s="62"/>
      <c r="K15" s="60"/>
      <c r="L15" s="61"/>
      <c r="M15" s="55"/>
      <c r="N15" s="56"/>
      <c r="O15" s="57"/>
      <c r="P15" s="47"/>
      <c r="R15" s="63"/>
      <c r="S15" s="47"/>
      <c r="U15" s="63"/>
      <c r="V15" s="62"/>
      <c r="W15" s="60"/>
      <c r="X15" s="58">
        <f>_11_A通院１０．５+ROUND((_11_B通院１０．５＿１．５*(1+_11・B夜間)),0)+ROUND((_11_C通院１０．５＿１．５＿１．０*(1+_11・C深夜)),0)</f>
        <v>1024</v>
      </c>
      <c r="Y15" s="59"/>
    </row>
    <row r="16" spans="1:25" ht="16.5" customHeight="1" x14ac:dyDescent="0.2">
      <c r="A16" s="44">
        <v>16</v>
      </c>
      <c r="B16" s="53">
        <v>3752</v>
      </c>
      <c r="C16" s="69" t="s">
        <v>1173</v>
      </c>
      <c r="D16" s="67"/>
      <c r="E16" s="83"/>
      <c r="F16" s="67"/>
      <c r="G16" s="83"/>
      <c r="H16" s="245"/>
      <c r="I16" s="246"/>
      <c r="J16" s="54"/>
      <c r="K16" s="49"/>
      <c r="L16" s="50"/>
      <c r="M16" s="55" t="s">
        <v>396</v>
      </c>
      <c r="N16" s="56" t="s">
        <v>397</v>
      </c>
      <c r="O16" s="57">
        <v>1</v>
      </c>
      <c r="P16" s="47"/>
      <c r="R16" s="63"/>
      <c r="S16" s="47"/>
      <c r="U16" s="63"/>
      <c r="V16" s="47"/>
      <c r="X16" s="58">
        <f>ROUND((_11_A通院１０．５*_11・２人),0)+ROUND((ROUND((_11_B通院１０．５＿１．５*_11・２人),0)*(1+_11・B夜間)),0)+ROUND((ROUND((_11_C通院１０．５＿１．５＿１．０*_11・２人),0)*(1+_11・C深夜)),0)</f>
        <v>1024</v>
      </c>
      <c r="Y16" s="59"/>
    </row>
    <row r="17" spans="1:25" ht="16.5" customHeight="1" x14ac:dyDescent="0.2">
      <c r="A17" s="44">
        <v>16</v>
      </c>
      <c r="B17" s="53">
        <v>3753</v>
      </c>
      <c r="C17" s="69" t="s">
        <v>1174</v>
      </c>
      <c r="D17" s="67"/>
      <c r="E17" s="83"/>
      <c r="F17" s="67"/>
      <c r="G17" s="83"/>
      <c r="H17" s="245"/>
      <c r="I17" s="246"/>
      <c r="J17" s="258" t="s">
        <v>398</v>
      </c>
      <c r="K17" s="60" t="s">
        <v>397</v>
      </c>
      <c r="L17" s="61">
        <v>0.7</v>
      </c>
      <c r="M17" s="55"/>
      <c r="N17" s="56"/>
      <c r="O17" s="57"/>
      <c r="P17" s="47"/>
      <c r="R17" s="63"/>
      <c r="S17" s="47"/>
      <c r="U17" s="63"/>
      <c r="V17" s="47"/>
      <c r="X17" s="58">
        <f>ROUND((_11_A通院１０．５*_11・基礎１),0)+ROUND((ROUND((_11_B通院１０．５＿１．５*_11・基礎１),0)*(1+_11・B夜間)),0)+ROUND((ROUND((_11_C通院１０．５＿１．５＿１．０*_11・基礎１),0)*(1+_11・C深夜)),0)</f>
        <v>717</v>
      </c>
      <c r="Y17" s="59"/>
    </row>
    <row r="18" spans="1:25" ht="16.5" customHeight="1" x14ac:dyDescent="0.2">
      <c r="A18" s="44">
        <v>16</v>
      </c>
      <c r="B18" s="53">
        <v>3754</v>
      </c>
      <c r="C18" s="69" t="s">
        <v>1175</v>
      </c>
      <c r="D18" s="67"/>
      <c r="E18" s="83"/>
      <c r="F18" s="67"/>
      <c r="G18" s="83"/>
      <c r="H18" s="84">
        <f>_11_C通院１０．５＿１．５＿１．０</f>
        <v>168</v>
      </c>
      <c r="I18" s="83" t="s">
        <v>394</v>
      </c>
      <c r="J18" s="257"/>
      <c r="K18" s="49"/>
      <c r="L18" s="50"/>
      <c r="M18" s="55" t="s">
        <v>396</v>
      </c>
      <c r="N18" s="56" t="s">
        <v>397</v>
      </c>
      <c r="O18" s="57">
        <v>1</v>
      </c>
      <c r="P18" s="47"/>
      <c r="R18" s="63"/>
      <c r="S18" s="47"/>
      <c r="U18" s="63"/>
      <c r="V18" s="54"/>
      <c r="W18" s="49"/>
      <c r="X18" s="58">
        <f>ROUND((ROUND((_11_A通院１０．５*_11・基礎１),0)*_11・２人),0)+ROUND((ROUND((ROUND((_11_B通院１０．５＿１．５*_11・基礎１),0)*_11・２人),0)*(1+_11・B夜間)),0)+ROUND((ROUND((ROUND((_11_C通院１０．５＿１．５＿１．０*_11・基礎１),0)*_11・２人),0)*(1+_11・C深夜)),0)</f>
        <v>717</v>
      </c>
      <c r="Y18" s="59"/>
    </row>
    <row r="19" spans="1:25" ht="16.5" customHeight="1" x14ac:dyDescent="0.2">
      <c r="A19" s="44">
        <v>16</v>
      </c>
      <c r="B19" s="53">
        <v>3755</v>
      </c>
      <c r="C19" s="69" t="s">
        <v>1176</v>
      </c>
      <c r="D19" s="243" t="s">
        <v>1922</v>
      </c>
      <c r="E19" s="244"/>
      <c r="F19" s="243" t="s">
        <v>2002</v>
      </c>
      <c r="G19" s="244"/>
      <c r="H19" s="243" t="s">
        <v>1986</v>
      </c>
      <c r="I19" s="244"/>
      <c r="J19" s="62"/>
      <c r="K19" s="60"/>
      <c r="L19" s="61"/>
      <c r="M19" s="55"/>
      <c r="N19" s="56"/>
      <c r="O19" s="57"/>
      <c r="P19" s="47"/>
      <c r="R19" s="63"/>
      <c r="S19" s="47"/>
      <c r="U19" s="63"/>
      <c r="V19" s="62"/>
      <c r="W19" s="60"/>
      <c r="X19" s="58">
        <f>_11_A通院１１．０+ROUND((_11_B通院１１．０＿１．５*(1+_11・B夜間)),0)+ROUND((_11_C通院１１．０＿１．５＿０．５*(1+_11・C深夜)),0)</f>
        <v>967</v>
      </c>
      <c r="Y19" s="59"/>
    </row>
    <row r="20" spans="1:25" ht="16.5" customHeight="1" x14ac:dyDescent="0.2">
      <c r="A20" s="44">
        <v>16</v>
      </c>
      <c r="B20" s="53">
        <v>3756</v>
      </c>
      <c r="C20" s="69" t="s">
        <v>1177</v>
      </c>
      <c r="D20" s="245"/>
      <c r="E20" s="246"/>
      <c r="F20" s="245"/>
      <c r="G20" s="246"/>
      <c r="H20" s="245"/>
      <c r="I20" s="246"/>
      <c r="J20" s="54"/>
      <c r="K20" s="49"/>
      <c r="L20" s="50"/>
      <c r="M20" s="55" t="s">
        <v>396</v>
      </c>
      <c r="N20" s="56" t="s">
        <v>397</v>
      </c>
      <c r="O20" s="57">
        <v>1</v>
      </c>
      <c r="P20" s="47"/>
      <c r="R20" s="63"/>
      <c r="S20" s="47"/>
      <c r="U20" s="63"/>
      <c r="V20" s="47"/>
      <c r="X20" s="58">
        <f>ROUND((_11_A通院１１．０*_11・２人),0)+ROUND((ROUND((_11_B通院１１．０＿１．５*_11・２人),0)*(1+_11・B夜間)),0)+ROUND((ROUND((_11_C通院１１．０＿１．５＿０．５*_11・２人),0)*(1+_11・C深夜)),0)</f>
        <v>967</v>
      </c>
      <c r="Y20" s="59"/>
    </row>
    <row r="21" spans="1:25" ht="16.5" customHeight="1" x14ac:dyDescent="0.2">
      <c r="A21" s="44">
        <v>16</v>
      </c>
      <c r="B21" s="53">
        <v>3757</v>
      </c>
      <c r="C21" s="69" t="s">
        <v>1178</v>
      </c>
      <c r="D21" s="245"/>
      <c r="E21" s="246"/>
      <c r="F21" s="245"/>
      <c r="G21" s="246"/>
      <c r="H21" s="245"/>
      <c r="I21" s="246"/>
      <c r="J21" s="258" t="s">
        <v>398</v>
      </c>
      <c r="K21" s="60" t="s">
        <v>397</v>
      </c>
      <c r="L21" s="61">
        <v>0.7</v>
      </c>
      <c r="M21" s="55"/>
      <c r="N21" s="56"/>
      <c r="O21" s="57"/>
      <c r="P21" s="47"/>
      <c r="R21" s="63"/>
      <c r="S21" s="47"/>
      <c r="U21" s="63"/>
      <c r="V21" s="47"/>
      <c r="X21" s="58">
        <f>ROUND((_11_A通院１１．０*_11・基礎１),0)+ROUND((ROUND((_11_B通院１１．０＿１．５*_11・基礎１),0)*(1+_11・B夜間)),0)+ROUND((ROUND((_11_C通院１１．０＿１．５＿０．５*_11・基礎１),0)*(1+_11・C深夜)),0)</f>
        <v>676</v>
      </c>
      <c r="Y21" s="59"/>
    </row>
    <row r="22" spans="1:25" ht="16.5" customHeight="1" x14ac:dyDescent="0.2">
      <c r="A22" s="44">
        <v>16</v>
      </c>
      <c r="B22" s="53">
        <v>3758</v>
      </c>
      <c r="C22" s="69" t="s">
        <v>1179</v>
      </c>
      <c r="D22" s="84">
        <f>_11_A通院１１．０</f>
        <v>404</v>
      </c>
      <c r="E22" s="83" t="s">
        <v>394</v>
      </c>
      <c r="F22" s="84">
        <f>_11_B通院１１．０＿１．５</f>
        <v>350</v>
      </c>
      <c r="G22" s="83" t="s">
        <v>394</v>
      </c>
      <c r="H22" s="84">
        <f>_11_C通院１１．０＿１．５＿０．５</f>
        <v>83</v>
      </c>
      <c r="I22" s="83" t="s">
        <v>394</v>
      </c>
      <c r="J22" s="257"/>
      <c r="K22" s="49"/>
      <c r="L22" s="50"/>
      <c r="M22" s="55" t="s">
        <v>396</v>
      </c>
      <c r="N22" s="56" t="s">
        <v>397</v>
      </c>
      <c r="O22" s="57">
        <v>1</v>
      </c>
      <c r="P22" s="47"/>
      <c r="R22" s="63"/>
      <c r="S22" s="47"/>
      <c r="U22" s="63"/>
      <c r="V22" s="54"/>
      <c r="W22" s="49"/>
      <c r="X22" s="58">
        <f>ROUND((ROUND((_11_A通院１１．０*_11・基礎１),0)*_11・２人),0)+ROUND((ROUND((ROUND((_11_B通院１１．０＿１．５*_11・基礎１),0)*_11・２人),0)*(1+_11・B夜間)),0)+ROUND((ROUND((ROUND((_11_C通院１１．０＿１．５＿０．５*_11・基礎１),0)*_11・２人),0)*(1+_11・C深夜)),0)</f>
        <v>676</v>
      </c>
      <c r="Y22" s="59"/>
    </row>
    <row r="23" spans="1:25" ht="16.5" customHeight="1" x14ac:dyDescent="0.2">
      <c r="A23" s="44">
        <v>16</v>
      </c>
      <c r="B23" s="53">
        <v>3759</v>
      </c>
      <c r="C23" s="69" t="s">
        <v>1180</v>
      </c>
      <c r="D23" s="243" t="s">
        <v>2003</v>
      </c>
      <c r="E23" s="244"/>
      <c r="F23" s="243" t="s">
        <v>2004</v>
      </c>
      <c r="G23" s="244"/>
      <c r="H23" s="243" t="s">
        <v>1986</v>
      </c>
      <c r="I23" s="244"/>
      <c r="J23" s="62"/>
      <c r="K23" s="60"/>
      <c r="L23" s="61"/>
      <c r="M23" s="55"/>
      <c r="N23" s="56"/>
      <c r="O23" s="57"/>
      <c r="P23" s="47"/>
      <c r="R23" s="63"/>
      <c r="S23" s="47"/>
      <c r="U23" s="63"/>
      <c r="V23" s="62"/>
      <c r="W23" s="60"/>
      <c r="X23" s="58">
        <f>_11_A通院１０．５+ROUND((_11_B通院１０．５＿１．０*(1+_11・B夜間)),0)+ROUND((_11_C通院１０．５＿１．０＿０．５*(1+_11・C深夜)),0)</f>
        <v>793</v>
      </c>
      <c r="Y23" s="59"/>
    </row>
    <row r="24" spans="1:25" ht="16.5" customHeight="1" x14ac:dyDescent="0.2">
      <c r="A24" s="44">
        <v>16</v>
      </c>
      <c r="B24" s="53">
        <v>3760</v>
      </c>
      <c r="C24" s="69" t="s">
        <v>1181</v>
      </c>
      <c r="D24" s="245"/>
      <c r="E24" s="246"/>
      <c r="F24" s="245"/>
      <c r="G24" s="246"/>
      <c r="H24" s="245"/>
      <c r="I24" s="246"/>
      <c r="J24" s="54"/>
      <c r="K24" s="49"/>
      <c r="L24" s="50"/>
      <c r="M24" s="55" t="s">
        <v>396</v>
      </c>
      <c r="N24" s="56" t="s">
        <v>397</v>
      </c>
      <c r="O24" s="57">
        <v>1</v>
      </c>
      <c r="P24" s="47"/>
      <c r="R24" s="63"/>
      <c r="S24" s="47"/>
      <c r="U24" s="63"/>
      <c r="V24" s="47"/>
      <c r="X24" s="58">
        <f>ROUND((_11_A通院１０．５*_11・２人),0)+ROUND((ROUND((_11_B通院１０．５＿１．０*_11・２人),0)*(1+_11・B夜間)),0)+ROUND((ROUND((_11_C通院１０．５＿１．０＿０．５*_11・２人),0)*(1+_11・C深夜)),0)</f>
        <v>793</v>
      </c>
      <c r="Y24" s="59"/>
    </row>
    <row r="25" spans="1:25" ht="16.5" customHeight="1" x14ac:dyDescent="0.2">
      <c r="A25" s="44">
        <v>16</v>
      </c>
      <c r="B25" s="53">
        <v>3761</v>
      </c>
      <c r="C25" s="69" t="s">
        <v>1182</v>
      </c>
      <c r="D25" s="245"/>
      <c r="E25" s="246"/>
      <c r="F25" s="245"/>
      <c r="G25" s="246"/>
      <c r="H25" s="245"/>
      <c r="I25" s="246"/>
      <c r="J25" s="258" t="s">
        <v>398</v>
      </c>
      <c r="K25" s="60" t="s">
        <v>397</v>
      </c>
      <c r="L25" s="61">
        <v>0.7</v>
      </c>
      <c r="M25" s="55"/>
      <c r="N25" s="56"/>
      <c r="O25" s="57"/>
      <c r="P25" s="47"/>
      <c r="R25" s="63"/>
      <c r="S25" s="47"/>
      <c r="U25" s="63"/>
      <c r="V25" s="47"/>
      <c r="X25" s="58">
        <f>ROUND((_11_A通院１０．５*_11・基礎１),0)+ROUND((ROUND((_11_B通院１０．５＿１．０*_11・基礎１),0)*(1+_11・B夜間)),0)+ROUND((ROUND((_11_C通院１０．５＿１．０＿０．５*_11・基礎１),0)*(1+_11・C深夜)),0)</f>
        <v>555</v>
      </c>
      <c r="Y25" s="59"/>
    </row>
    <row r="26" spans="1:25" ht="16.5" customHeight="1" x14ac:dyDescent="0.2">
      <c r="A26" s="44">
        <v>16</v>
      </c>
      <c r="B26" s="53">
        <v>3762</v>
      </c>
      <c r="C26" s="69" t="s">
        <v>1183</v>
      </c>
      <c r="D26" s="84">
        <f>_11_A通院１０．５</f>
        <v>256</v>
      </c>
      <c r="E26" s="83" t="s">
        <v>394</v>
      </c>
      <c r="F26" s="84">
        <f>_11_B通院１０．５＿１．０</f>
        <v>331</v>
      </c>
      <c r="G26" s="83" t="s">
        <v>394</v>
      </c>
      <c r="H26" s="84">
        <f>_11_C通院１０．５＿１．０＿０．５</f>
        <v>82</v>
      </c>
      <c r="I26" s="83" t="s">
        <v>394</v>
      </c>
      <c r="J26" s="257"/>
      <c r="K26" s="49"/>
      <c r="L26" s="50"/>
      <c r="M26" s="55" t="s">
        <v>396</v>
      </c>
      <c r="N26" s="56" t="s">
        <v>397</v>
      </c>
      <c r="O26" s="57">
        <v>1</v>
      </c>
      <c r="P26" s="47"/>
      <c r="R26" s="63"/>
      <c r="S26" s="47"/>
      <c r="U26" s="63"/>
      <c r="V26" s="54"/>
      <c r="W26" s="49"/>
      <c r="X26" s="58">
        <f>ROUND((ROUND((_11_A通院１０．５*_11・基礎１),0)*_11・２人),0)+ROUND((ROUND((ROUND((_11_B通院１０．５＿１．０*_11・基礎１),0)*_11・２人),0)*(1+_11・B夜間)),0)+ROUND((ROUND((ROUND((_11_C通院１０．５＿１．０＿０．５*_11・基礎１),0)*_11・２人),0)*(1+_11・C深夜)),0)</f>
        <v>555</v>
      </c>
      <c r="Y26" s="59"/>
    </row>
    <row r="27" spans="1:25" ht="16.5" customHeight="1" x14ac:dyDescent="0.2">
      <c r="A27" s="44">
        <v>16</v>
      </c>
      <c r="B27" s="53">
        <v>3763</v>
      </c>
      <c r="C27" s="69" t="s">
        <v>1184</v>
      </c>
      <c r="D27" s="67"/>
      <c r="E27" s="83"/>
      <c r="F27" s="67"/>
      <c r="G27" s="83"/>
      <c r="H27" s="243" t="s">
        <v>1987</v>
      </c>
      <c r="I27" s="244"/>
      <c r="J27" s="62"/>
      <c r="K27" s="60"/>
      <c r="L27" s="61"/>
      <c r="M27" s="55"/>
      <c r="N27" s="56"/>
      <c r="O27" s="57"/>
      <c r="P27" s="47"/>
      <c r="R27" s="63"/>
      <c r="S27" s="47"/>
      <c r="U27" s="63"/>
      <c r="V27" s="62"/>
      <c r="W27" s="60"/>
      <c r="X27" s="58">
        <f>_11_A通院１０．５+ROUND((_11_B通院１０．５＿１．０*(1+_11・B夜間)),0)+ROUND((_11_C通院１０．５＿１．０＿１．０*(1+_11・C深夜)),0)</f>
        <v>921</v>
      </c>
      <c r="Y27" s="59"/>
    </row>
    <row r="28" spans="1:25" ht="16.5" customHeight="1" x14ac:dyDescent="0.2">
      <c r="A28" s="44">
        <v>16</v>
      </c>
      <c r="B28" s="53">
        <v>3764</v>
      </c>
      <c r="C28" s="69" t="s">
        <v>1185</v>
      </c>
      <c r="D28" s="67"/>
      <c r="E28" s="83"/>
      <c r="F28" s="67"/>
      <c r="G28" s="83"/>
      <c r="H28" s="245"/>
      <c r="I28" s="246"/>
      <c r="J28" s="54"/>
      <c r="K28" s="49"/>
      <c r="L28" s="50"/>
      <c r="M28" s="55" t="s">
        <v>396</v>
      </c>
      <c r="N28" s="56" t="s">
        <v>397</v>
      </c>
      <c r="O28" s="57">
        <v>1</v>
      </c>
      <c r="P28" s="47"/>
      <c r="R28" s="63"/>
      <c r="S28" s="47"/>
      <c r="U28" s="63"/>
      <c r="V28" s="47"/>
      <c r="X28" s="58">
        <f>ROUND((_11_A通院１０．５*_11・２人),0)+ROUND((ROUND((_11_B通院１０．５＿１．０*_11・２人),0)*(1+_11・B夜間)),0)+ROUND((ROUND((_11_C通院１０．５＿１．０＿１．０*_11・２人),0)*(1+_11・C深夜)),0)</f>
        <v>921</v>
      </c>
      <c r="Y28" s="59"/>
    </row>
    <row r="29" spans="1:25" ht="16.5" customHeight="1" x14ac:dyDescent="0.2">
      <c r="A29" s="44">
        <v>16</v>
      </c>
      <c r="B29" s="53">
        <v>3765</v>
      </c>
      <c r="C29" s="69" t="s">
        <v>1186</v>
      </c>
      <c r="D29" s="67"/>
      <c r="E29" s="83"/>
      <c r="F29" s="67"/>
      <c r="G29" s="83"/>
      <c r="H29" s="245"/>
      <c r="I29" s="246"/>
      <c r="J29" s="258" t="s">
        <v>398</v>
      </c>
      <c r="K29" s="60" t="s">
        <v>397</v>
      </c>
      <c r="L29" s="61">
        <v>0.7</v>
      </c>
      <c r="M29" s="55"/>
      <c r="N29" s="56"/>
      <c r="O29" s="57"/>
      <c r="P29" s="47"/>
      <c r="R29" s="63"/>
      <c r="S29" s="47"/>
      <c r="U29" s="63"/>
      <c r="V29" s="47"/>
      <c r="X29" s="58">
        <f>ROUND((_11_A通院１０．５*_11・基礎１),0)+ROUND((ROUND((_11_B通院１０．５＿１．０*_11・基礎１),0)*(1+_11・B夜間)),0)+ROUND((ROUND((_11_C通院１０．５＿１．０＿１．０*_11・基礎１),0)*(1+_11・C深夜)),0)</f>
        <v>645</v>
      </c>
      <c r="Y29" s="59"/>
    </row>
    <row r="30" spans="1:25" ht="16.5" customHeight="1" x14ac:dyDescent="0.2">
      <c r="A30" s="44">
        <v>16</v>
      </c>
      <c r="B30" s="53">
        <v>3766</v>
      </c>
      <c r="C30" s="69" t="s">
        <v>1187</v>
      </c>
      <c r="D30" s="67"/>
      <c r="E30" s="83"/>
      <c r="F30" s="67"/>
      <c r="G30" s="83"/>
      <c r="H30" s="84">
        <f>_11_C通院１０．５＿１．０＿１．０</f>
        <v>167</v>
      </c>
      <c r="I30" s="83" t="s">
        <v>394</v>
      </c>
      <c r="J30" s="257"/>
      <c r="K30" s="49"/>
      <c r="L30" s="50"/>
      <c r="M30" s="55" t="s">
        <v>396</v>
      </c>
      <c r="N30" s="56" t="s">
        <v>397</v>
      </c>
      <c r="O30" s="57">
        <v>1</v>
      </c>
      <c r="P30" s="47"/>
      <c r="R30" s="63"/>
      <c r="S30" s="47"/>
      <c r="U30" s="63"/>
      <c r="V30" s="54"/>
      <c r="W30" s="49"/>
      <c r="X30" s="58">
        <f>ROUND((ROUND((_11_A通院１０．５*_11・基礎１),0)*_11・２人),0)+ROUND((ROUND((ROUND((_11_B通院１０．５＿１．０*_11・基礎１),0)*_11・２人),0)*(1+_11・B夜間)),0)+ROUND((ROUND((ROUND((_11_C通院１０．５＿１．０＿１．０*_11・基礎１),0)*_11・２人),0)*(1+_11・C深夜)),0)</f>
        <v>645</v>
      </c>
      <c r="Y30" s="59"/>
    </row>
    <row r="31" spans="1:25" ht="16.5" customHeight="1" x14ac:dyDescent="0.2">
      <c r="A31" s="44">
        <v>16</v>
      </c>
      <c r="B31" s="53">
        <v>3767</v>
      </c>
      <c r="C31" s="69" t="s">
        <v>1188</v>
      </c>
      <c r="D31" s="67"/>
      <c r="E31" s="83"/>
      <c r="F31" s="67"/>
      <c r="G31" s="83"/>
      <c r="H31" s="243" t="s">
        <v>1988</v>
      </c>
      <c r="I31" s="244"/>
      <c r="J31" s="62"/>
      <c r="K31" s="60"/>
      <c r="L31" s="61"/>
      <c r="M31" s="55"/>
      <c r="N31" s="56"/>
      <c r="O31" s="57"/>
      <c r="P31" s="47"/>
      <c r="R31" s="63"/>
      <c r="S31" s="47"/>
      <c r="U31" s="63"/>
      <c r="V31" s="62"/>
      <c r="W31" s="60"/>
      <c r="X31" s="58">
        <f>_11_A通院１０．５+ROUND((_11_B通院１０．５＿１．０*(1+_11・B夜間)),0)+ROUND((_11_C通院１０．５＿１．０＿１．５*(1+_11・C深夜)),0)</f>
        <v>1045</v>
      </c>
      <c r="Y31" s="59"/>
    </row>
    <row r="32" spans="1:25" ht="16.5" customHeight="1" x14ac:dyDescent="0.2">
      <c r="A32" s="44">
        <v>16</v>
      </c>
      <c r="B32" s="53">
        <v>3768</v>
      </c>
      <c r="C32" s="69" t="s">
        <v>1189</v>
      </c>
      <c r="D32" s="67"/>
      <c r="E32" s="83"/>
      <c r="F32" s="67"/>
      <c r="G32" s="83"/>
      <c r="H32" s="245"/>
      <c r="I32" s="246"/>
      <c r="J32" s="54"/>
      <c r="K32" s="49"/>
      <c r="L32" s="50"/>
      <c r="M32" s="55" t="s">
        <v>396</v>
      </c>
      <c r="N32" s="56" t="s">
        <v>397</v>
      </c>
      <c r="O32" s="57">
        <v>1</v>
      </c>
      <c r="P32" s="47"/>
      <c r="R32" s="63"/>
      <c r="S32" s="47"/>
      <c r="U32" s="63"/>
      <c r="V32" s="47"/>
      <c r="X32" s="58">
        <f>ROUND((_11_A通院１０．５*_11・２人),0)+ROUND((ROUND((_11_B通院１０．５＿１．０*_11・２人),0)*(1+_11・B夜間)),0)+ROUND((ROUND((_11_C通院１０．５＿１．０＿１．５*_11・２人),0)*(1+_11・C深夜)),0)</f>
        <v>1045</v>
      </c>
      <c r="Y32" s="59"/>
    </row>
    <row r="33" spans="1:25" ht="16.5" customHeight="1" x14ac:dyDescent="0.2">
      <c r="A33" s="44">
        <v>16</v>
      </c>
      <c r="B33" s="53">
        <v>3769</v>
      </c>
      <c r="C33" s="69" t="s">
        <v>1190</v>
      </c>
      <c r="D33" s="67"/>
      <c r="E33" s="83"/>
      <c r="F33" s="67"/>
      <c r="G33" s="83"/>
      <c r="H33" s="245"/>
      <c r="I33" s="246"/>
      <c r="J33" s="258" t="s">
        <v>398</v>
      </c>
      <c r="K33" s="60" t="s">
        <v>397</v>
      </c>
      <c r="L33" s="61">
        <v>0.7</v>
      </c>
      <c r="M33" s="55"/>
      <c r="N33" s="56"/>
      <c r="O33" s="57"/>
      <c r="P33" s="47"/>
      <c r="R33" s="63"/>
      <c r="S33" s="47"/>
      <c r="U33" s="63"/>
      <c r="V33" s="47"/>
      <c r="X33" s="58">
        <f>ROUND((_11_A通院１０．５*_11・基礎１),0)+ROUND((ROUND((_11_B通院１０．５＿１．０*_11・基礎１),0)*(1+_11・B夜間)),0)+ROUND((ROUND((_11_C通院１０．５＿１．０＿１．５*_11・基礎１),0)*(1+_11・C深夜)),0)</f>
        <v>732</v>
      </c>
      <c r="Y33" s="59"/>
    </row>
    <row r="34" spans="1:25" ht="16.5" customHeight="1" x14ac:dyDescent="0.2">
      <c r="A34" s="44">
        <v>16</v>
      </c>
      <c r="B34" s="53">
        <v>3770</v>
      </c>
      <c r="C34" s="69" t="s">
        <v>1191</v>
      </c>
      <c r="D34" s="67"/>
      <c r="E34" s="83"/>
      <c r="F34" s="67"/>
      <c r="G34" s="83"/>
      <c r="H34" s="84">
        <f>_11_C通院１０．５＿１．０＿１．５</f>
        <v>250</v>
      </c>
      <c r="I34" s="83" t="s">
        <v>394</v>
      </c>
      <c r="J34" s="257"/>
      <c r="K34" s="49"/>
      <c r="L34" s="50"/>
      <c r="M34" s="55" t="s">
        <v>396</v>
      </c>
      <c r="N34" s="56" t="s">
        <v>397</v>
      </c>
      <c r="O34" s="57">
        <v>1</v>
      </c>
      <c r="P34" s="47"/>
      <c r="R34" s="63"/>
      <c r="S34" s="47"/>
      <c r="U34" s="63"/>
      <c r="V34" s="54"/>
      <c r="W34" s="49"/>
      <c r="X34" s="58">
        <f>ROUND((ROUND((_11_A通院１０．５*_11・基礎１),0)*_11・２人),0)+ROUND((ROUND((ROUND((_11_B通院１０．５＿１．０*_11・基礎１),0)*_11・２人),0)*(1+_11・B夜間)),0)+ROUND((ROUND((ROUND((_11_C通院１０．５＿１．０＿１．５*_11・基礎１),0)*_11・２人),0)*(1+_11・C深夜)),0)</f>
        <v>732</v>
      </c>
      <c r="Y34" s="59"/>
    </row>
    <row r="35" spans="1:25" ht="16.5" customHeight="1" x14ac:dyDescent="0.2">
      <c r="A35" s="44">
        <v>16</v>
      </c>
      <c r="B35" s="53">
        <v>3771</v>
      </c>
      <c r="C35" s="69" t="s">
        <v>1192</v>
      </c>
      <c r="D35" s="243" t="s">
        <v>2005</v>
      </c>
      <c r="E35" s="244"/>
      <c r="F35" s="243" t="s">
        <v>2006</v>
      </c>
      <c r="G35" s="244"/>
      <c r="H35" s="243" t="s">
        <v>1986</v>
      </c>
      <c r="I35" s="244"/>
      <c r="J35" s="62"/>
      <c r="K35" s="60"/>
      <c r="L35" s="61"/>
      <c r="M35" s="55"/>
      <c r="N35" s="56"/>
      <c r="O35" s="57"/>
      <c r="P35" s="47"/>
      <c r="R35" s="63"/>
      <c r="S35" s="47"/>
      <c r="U35" s="63"/>
      <c r="V35" s="62"/>
      <c r="W35" s="60"/>
      <c r="X35" s="58">
        <f>_11_A通院１１．０+ROUND((_11_B通院１１．０＿１．０*(1+_11・B夜間)),0)+ROUND((_11_C通院１１．０＿１．０＿０．５*(1+_11・C深夜)),0)</f>
        <v>863</v>
      </c>
      <c r="Y35" s="59"/>
    </row>
    <row r="36" spans="1:25" ht="16.5" customHeight="1" x14ac:dyDescent="0.2">
      <c r="A36" s="44">
        <v>16</v>
      </c>
      <c r="B36" s="53">
        <v>3772</v>
      </c>
      <c r="C36" s="69" t="s">
        <v>1193</v>
      </c>
      <c r="D36" s="245"/>
      <c r="E36" s="246"/>
      <c r="F36" s="245"/>
      <c r="G36" s="246"/>
      <c r="H36" s="245"/>
      <c r="I36" s="246"/>
      <c r="J36" s="54"/>
      <c r="K36" s="49"/>
      <c r="L36" s="50"/>
      <c r="M36" s="55" t="s">
        <v>396</v>
      </c>
      <c r="N36" s="56" t="s">
        <v>397</v>
      </c>
      <c r="O36" s="57">
        <v>1</v>
      </c>
      <c r="P36" s="47"/>
      <c r="R36" s="63"/>
      <c r="S36" s="47"/>
      <c r="U36" s="63"/>
      <c r="V36" s="47"/>
      <c r="X36" s="58">
        <f>ROUND((_11_A通院１１．０*_11・２人),0)+ROUND((ROUND((_11_B通院１１．０＿１．０*_11・２人),0)*(1+_11・B夜間)),0)+ROUND((ROUND((_11_C通院１１．０＿１．０＿０．５*_11・２人),0)*(1+_11・C深夜)),0)</f>
        <v>863</v>
      </c>
      <c r="Y36" s="59"/>
    </row>
    <row r="37" spans="1:25" ht="16.5" customHeight="1" x14ac:dyDescent="0.2">
      <c r="A37" s="44">
        <v>16</v>
      </c>
      <c r="B37" s="53">
        <v>3773</v>
      </c>
      <c r="C37" s="69" t="s">
        <v>1194</v>
      </c>
      <c r="D37" s="245"/>
      <c r="E37" s="246"/>
      <c r="F37" s="245"/>
      <c r="G37" s="246"/>
      <c r="H37" s="245"/>
      <c r="I37" s="246"/>
      <c r="J37" s="258" t="s">
        <v>398</v>
      </c>
      <c r="K37" s="60" t="s">
        <v>397</v>
      </c>
      <c r="L37" s="61">
        <v>0.7</v>
      </c>
      <c r="M37" s="55"/>
      <c r="N37" s="56"/>
      <c r="O37" s="57"/>
      <c r="P37" s="47"/>
      <c r="R37" s="63"/>
      <c r="S37" s="47"/>
      <c r="U37" s="63"/>
      <c r="V37" s="47"/>
      <c r="X37" s="58">
        <f>ROUND((_11_A通院１１．０*_11・基礎１),0)+ROUND((ROUND((_11_B通院１１．０＿１．０*_11・基礎１),0)*(1+_11・B夜間)),0)+ROUND((ROUND((_11_C通院１１．０＿１．０＿０．５*_11・基礎１),0)*(1+_11・C深夜)),0)</f>
        <v>606</v>
      </c>
      <c r="Y37" s="59"/>
    </row>
    <row r="38" spans="1:25" ht="16.5" customHeight="1" x14ac:dyDescent="0.2">
      <c r="A38" s="44">
        <v>16</v>
      </c>
      <c r="B38" s="53">
        <v>3774</v>
      </c>
      <c r="C38" s="69" t="s">
        <v>1195</v>
      </c>
      <c r="D38" s="84">
        <f>_11_A通院１１．０</f>
        <v>404</v>
      </c>
      <c r="E38" s="83" t="s">
        <v>394</v>
      </c>
      <c r="F38" s="84">
        <f>_11_B通院１１．０＿１．０</f>
        <v>265</v>
      </c>
      <c r="G38" s="83" t="s">
        <v>394</v>
      </c>
      <c r="H38" s="84">
        <f>_11_C通院１１．０＿１．０＿０．５</f>
        <v>85</v>
      </c>
      <c r="I38" s="83" t="s">
        <v>394</v>
      </c>
      <c r="J38" s="257"/>
      <c r="K38" s="49"/>
      <c r="L38" s="50"/>
      <c r="M38" s="55" t="s">
        <v>396</v>
      </c>
      <c r="N38" s="56" t="s">
        <v>397</v>
      </c>
      <c r="O38" s="57">
        <v>1</v>
      </c>
      <c r="P38" s="47"/>
      <c r="R38" s="63"/>
      <c r="S38" s="47"/>
      <c r="U38" s="63"/>
      <c r="V38" s="54"/>
      <c r="W38" s="49"/>
      <c r="X38" s="58">
        <f>ROUND((ROUND((_11_A通院１１．０*_11・基礎１),0)*_11・２人),0)+ROUND((ROUND((ROUND((_11_B通院１１．０＿１．０*_11・基礎１),0)*_11・２人),0)*(1+_11・B夜間)),0)+ROUND((ROUND((ROUND((_11_C通院１１．０＿１．０＿０．５*_11・基礎１),0)*_11・２人),0)*(1+_11・C深夜)),0)</f>
        <v>606</v>
      </c>
      <c r="Y38" s="59"/>
    </row>
    <row r="39" spans="1:25" ht="16.5" customHeight="1" x14ac:dyDescent="0.2">
      <c r="A39" s="44">
        <v>16</v>
      </c>
      <c r="B39" s="53">
        <v>3775</v>
      </c>
      <c r="C39" s="69" t="s">
        <v>1196</v>
      </c>
      <c r="D39" s="94"/>
      <c r="E39" s="83"/>
      <c r="F39" s="94"/>
      <c r="G39" s="83"/>
      <c r="H39" s="243" t="s">
        <v>1987</v>
      </c>
      <c r="I39" s="244"/>
      <c r="J39" s="62"/>
      <c r="K39" s="60"/>
      <c r="L39" s="61"/>
      <c r="M39" s="55"/>
      <c r="N39" s="56"/>
      <c r="O39" s="57"/>
      <c r="P39" s="47"/>
      <c r="R39" s="63"/>
      <c r="S39" s="47"/>
      <c r="U39" s="63"/>
      <c r="V39" s="62"/>
      <c r="W39" s="60"/>
      <c r="X39" s="58">
        <f>_11_A通院１１．０+ROUND((_11_B通院１１．０＿１．０*(1+_11・B夜間)),0)+ROUND((_11_C通院１１．０＿１．０＿１．０*(1+_11・C深夜)),0)</f>
        <v>987</v>
      </c>
      <c r="Y39" s="59"/>
    </row>
    <row r="40" spans="1:25" ht="16.5" customHeight="1" x14ac:dyDescent="0.2">
      <c r="A40" s="44">
        <v>16</v>
      </c>
      <c r="B40" s="53">
        <v>3776</v>
      </c>
      <c r="C40" s="69" t="s">
        <v>1197</v>
      </c>
      <c r="D40" s="67"/>
      <c r="E40" s="83"/>
      <c r="F40" s="67"/>
      <c r="G40" s="83"/>
      <c r="H40" s="245"/>
      <c r="I40" s="246"/>
      <c r="J40" s="54"/>
      <c r="K40" s="49"/>
      <c r="L40" s="50"/>
      <c r="M40" s="55" t="s">
        <v>396</v>
      </c>
      <c r="N40" s="56" t="s">
        <v>397</v>
      </c>
      <c r="O40" s="57">
        <v>1</v>
      </c>
      <c r="P40" s="47"/>
      <c r="R40" s="63"/>
      <c r="S40" s="47"/>
      <c r="U40" s="63"/>
      <c r="V40" s="47"/>
      <c r="X40" s="58">
        <f>ROUND((_11_A通院１１．０*_11・２人),0)+ROUND((ROUND((_11_B通院１１．０＿１．０*_11・２人),0)*(1+_11・B夜間)),0)+ROUND((ROUND((_11_C通院１１．０＿１．０＿１．０*_11・２人),0)*(1+_11・C深夜)),0)</f>
        <v>987</v>
      </c>
      <c r="Y40" s="59"/>
    </row>
    <row r="41" spans="1:25" ht="16.5" customHeight="1" x14ac:dyDescent="0.2">
      <c r="A41" s="44">
        <v>16</v>
      </c>
      <c r="B41" s="53">
        <v>3777</v>
      </c>
      <c r="C41" s="69" t="s">
        <v>1198</v>
      </c>
      <c r="D41" s="67"/>
      <c r="E41" s="83"/>
      <c r="F41" s="67"/>
      <c r="G41" s="83"/>
      <c r="H41" s="245"/>
      <c r="I41" s="246"/>
      <c r="J41" s="258" t="s">
        <v>398</v>
      </c>
      <c r="K41" s="60" t="s">
        <v>397</v>
      </c>
      <c r="L41" s="61">
        <v>0.7</v>
      </c>
      <c r="M41" s="55"/>
      <c r="N41" s="56"/>
      <c r="O41" s="57"/>
      <c r="P41" s="47"/>
      <c r="R41" s="63"/>
      <c r="S41" s="47"/>
      <c r="U41" s="63"/>
      <c r="V41" s="47"/>
      <c r="X41" s="58">
        <f>ROUND((_11_A通院１１．０*_11・基礎１),0)+ROUND((ROUND((_11_B通院１１．０＿１．０*_11・基礎１),0)*(1+_11・B夜間)),0)+ROUND((ROUND((_11_C通院１１．０＿１．０＿１．０*_11・基礎１),0)*(1+_11・C深夜)),0)</f>
        <v>693</v>
      </c>
      <c r="Y41" s="59"/>
    </row>
    <row r="42" spans="1:25" ht="16.5" customHeight="1" x14ac:dyDescent="0.2">
      <c r="A42" s="44">
        <v>16</v>
      </c>
      <c r="B42" s="53">
        <v>3778</v>
      </c>
      <c r="C42" s="69" t="s">
        <v>1199</v>
      </c>
      <c r="D42" s="95"/>
      <c r="E42" s="83"/>
      <c r="F42" s="95"/>
      <c r="G42" s="83"/>
      <c r="H42" s="84">
        <f>_11_C通院１１．０＿１．０＿１．０</f>
        <v>168</v>
      </c>
      <c r="I42" s="25" t="s">
        <v>394</v>
      </c>
      <c r="J42" s="257"/>
      <c r="K42" s="49"/>
      <c r="L42" s="50"/>
      <c r="M42" s="55" t="s">
        <v>396</v>
      </c>
      <c r="N42" s="56" t="s">
        <v>397</v>
      </c>
      <c r="O42" s="57">
        <v>1</v>
      </c>
      <c r="P42" s="47"/>
      <c r="R42" s="63"/>
      <c r="S42" s="47"/>
      <c r="U42" s="63"/>
      <c r="V42" s="54"/>
      <c r="W42" s="49"/>
      <c r="X42" s="58">
        <f>ROUND((ROUND((_11_A通院１１．０*_11・基礎１),0)*_11・２人),0)+ROUND((ROUND((ROUND((_11_B通院１１．０＿１．０*_11・基礎１),0)*_11・２人),0)*(1+_11・B夜間)),0)+ROUND((ROUND((ROUND((_11_C通院１１．０＿１．０＿１．０*_11・基礎１),0)*_11・２人),0)*(1+_11・C深夜)),0)</f>
        <v>693</v>
      </c>
      <c r="Y42" s="59"/>
    </row>
    <row r="43" spans="1:25" ht="16.5" customHeight="1" x14ac:dyDescent="0.2">
      <c r="A43" s="44">
        <v>16</v>
      </c>
      <c r="B43" s="53">
        <v>3779</v>
      </c>
      <c r="C43" s="69" t="s">
        <v>1200</v>
      </c>
      <c r="D43" s="243" t="s">
        <v>2007</v>
      </c>
      <c r="E43" s="244"/>
      <c r="F43" s="243" t="s">
        <v>2006</v>
      </c>
      <c r="G43" s="244"/>
      <c r="H43" s="243" t="s">
        <v>1986</v>
      </c>
      <c r="I43" s="244"/>
      <c r="J43" s="62"/>
      <c r="K43" s="60"/>
      <c r="L43" s="61"/>
      <c r="M43" s="55"/>
      <c r="N43" s="56"/>
      <c r="O43" s="57"/>
      <c r="P43" s="47"/>
      <c r="R43" s="63"/>
      <c r="S43" s="47"/>
      <c r="U43" s="63"/>
      <c r="V43" s="62"/>
      <c r="W43" s="60"/>
      <c r="X43" s="58">
        <f>_11_A通院１１．５+ROUND((_11_B通院１１．５＿１．０*(1+_11・B夜間)),0)+ROUND((_11_C通院１１．５＿１．０＿０．５*(1+_11・C深夜)),0)</f>
        <v>921</v>
      </c>
      <c r="Y43" s="59"/>
    </row>
    <row r="44" spans="1:25" ht="16.5" customHeight="1" x14ac:dyDescent="0.2">
      <c r="A44" s="44">
        <v>16</v>
      </c>
      <c r="B44" s="53">
        <v>3780</v>
      </c>
      <c r="C44" s="69" t="s">
        <v>1201</v>
      </c>
      <c r="D44" s="245"/>
      <c r="E44" s="246"/>
      <c r="F44" s="245"/>
      <c r="G44" s="246"/>
      <c r="H44" s="245"/>
      <c r="I44" s="246"/>
      <c r="J44" s="54"/>
      <c r="K44" s="49"/>
      <c r="L44" s="50"/>
      <c r="M44" s="55" t="s">
        <v>396</v>
      </c>
      <c r="N44" s="56" t="s">
        <v>397</v>
      </c>
      <c r="O44" s="57">
        <v>1</v>
      </c>
      <c r="P44" s="47"/>
      <c r="R44" s="63"/>
      <c r="S44" s="47"/>
      <c r="U44" s="63"/>
      <c r="V44" s="47"/>
      <c r="X44" s="58">
        <f>ROUND((_11_A通院１１．５*_11・２人),0)+ROUND((ROUND((_11_B通院１１．５＿１．０*_11・２人),0)*(1+_11・B夜間)),0)+ROUND((ROUND((_11_C通院１１．５＿１．０＿０．５*_11・２人),0)*(1+_11・C深夜)),0)</f>
        <v>921</v>
      </c>
      <c r="Y44" s="59"/>
    </row>
    <row r="45" spans="1:25" ht="16.5" customHeight="1" x14ac:dyDescent="0.2">
      <c r="A45" s="44">
        <v>16</v>
      </c>
      <c r="B45" s="53">
        <v>3781</v>
      </c>
      <c r="C45" s="69" t="s">
        <v>1202</v>
      </c>
      <c r="D45" s="245"/>
      <c r="E45" s="246"/>
      <c r="F45" s="245"/>
      <c r="G45" s="246"/>
      <c r="H45" s="245"/>
      <c r="I45" s="246"/>
      <c r="J45" s="258" t="s">
        <v>398</v>
      </c>
      <c r="K45" s="60" t="s">
        <v>397</v>
      </c>
      <c r="L45" s="61">
        <v>0.7</v>
      </c>
      <c r="M45" s="55"/>
      <c r="N45" s="56"/>
      <c r="O45" s="57"/>
      <c r="P45" s="47"/>
      <c r="R45" s="63"/>
      <c r="S45" s="47"/>
      <c r="U45" s="63"/>
      <c r="V45" s="47"/>
      <c r="X45" s="58">
        <f>ROUND((_11_A通院１１．５*_11・基礎１),0)+ROUND((ROUND((_11_B通院１１．５＿１．０*_11・基礎１),0)*(1+_11・B夜間)),0)+ROUND((ROUND((_11_C通院１１．５＿１．０＿０．５*_11・基礎１),0)*(1+_11・C深夜)),0)</f>
        <v>644</v>
      </c>
      <c r="Y45" s="59"/>
    </row>
    <row r="46" spans="1:25" ht="16.5" customHeight="1" x14ac:dyDescent="0.2">
      <c r="A46" s="44">
        <v>16</v>
      </c>
      <c r="B46" s="53">
        <v>3782</v>
      </c>
      <c r="C46" s="69" t="s">
        <v>1203</v>
      </c>
      <c r="D46" s="84">
        <f>_11_A通院１１．５</f>
        <v>587</v>
      </c>
      <c r="E46" s="25" t="s">
        <v>394</v>
      </c>
      <c r="F46" s="84">
        <f>_11_B通院１１．５＿１．０</f>
        <v>167</v>
      </c>
      <c r="G46" s="25" t="s">
        <v>394</v>
      </c>
      <c r="H46" s="84">
        <f>_11_C通院１１．５＿１．０＿０．５</f>
        <v>83</v>
      </c>
      <c r="I46" s="25" t="s">
        <v>394</v>
      </c>
      <c r="J46" s="257"/>
      <c r="K46" s="49"/>
      <c r="L46" s="50"/>
      <c r="M46" s="55" t="s">
        <v>396</v>
      </c>
      <c r="N46" s="56" t="s">
        <v>397</v>
      </c>
      <c r="O46" s="57">
        <v>1</v>
      </c>
      <c r="P46" s="47"/>
      <c r="R46" s="63"/>
      <c r="S46" s="47"/>
      <c r="U46" s="63"/>
      <c r="V46" s="54"/>
      <c r="W46" s="49"/>
      <c r="X46" s="58">
        <f>ROUND((ROUND((_11_A通院１１．５*_11・基礎１),0)*_11・２人),0)+ROUND((ROUND((ROUND((_11_B通院１１．５＿１．０*_11・基礎１),0)*_11・２人),0)*(1+_11・B夜間)),0)+ROUND((ROUND((ROUND((_11_C通院１１．５＿１．０＿０．５*_11・基礎１),0)*_11・２人),0)*(1+_11・C深夜)),0)</f>
        <v>644</v>
      </c>
      <c r="Y46" s="59"/>
    </row>
    <row r="47" spans="1:25" ht="16.5" customHeight="1" x14ac:dyDescent="0.2">
      <c r="A47" s="44">
        <v>16</v>
      </c>
      <c r="B47" s="53">
        <v>3783</v>
      </c>
      <c r="C47" s="69" t="s">
        <v>1204</v>
      </c>
      <c r="D47" s="243" t="s">
        <v>2008</v>
      </c>
      <c r="E47" s="244"/>
      <c r="F47" s="243" t="s">
        <v>1980</v>
      </c>
      <c r="G47" s="244"/>
      <c r="H47" s="243" t="s">
        <v>1986</v>
      </c>
      <c r="I47" s="244"/>
      <c r="J47" s="62"/>
      <c r="K47" s="60"/>
      <c r="L47" s="61"/>
      <c r="M47" s="55"/>
      <c r="N47" s="56"/>
      <c r="O47" s="57"/>
      <c r="P47" s="47"/>
      <c r="R47" s="63"/>
      <c r="S47" s="47"/>
      <c r="U47" s="63"/>
      <c r="V47" s="62"/>
      <c r="W47" s="60"/>
      <c r="X47" s="58">
        <f>_11_A通院１０．５+ROUND((_11_B通院１０．５＿０．５*(1+_11・B夜間)),0)+ROUND((_11_C通院１０．５＿０．５＿０．５*(1+_11・C深夜)),0)</f>
        <v>716</v>
      </c>
      <c r="Y47" s="52"/>
    </row>
    <row r="48" spans="1:25" ht="16.5" customHeight="1" x14ac:dyDescent="0.2">
      <c r="A48" s="44">
        <v>16</v>
      </c>
      <c r="B48" s="53">
        <v>3784</v>
      </c>
      <c r="C48" s="69" t="s">
        <v>1205</v>
      </c>
      <c r="D48" s="245"/>
      <c r="E48" s="246"/>
      <c r="F48" s="245"/>
      <c r="G48" s="246"/>
      <c r="H48" s="245"/>
      <c r="I48" s="246"/>
      <c r="J48" s="54"/>
      <c r="K48" s="49"/>
      <c r="L48" s="50"/>
      <c r="M48" s="55" t="s">
        <v>396</v>
      </c>
      <c r="N48" s="56" t="s">
        <v>397</v>
      </c>
      <c r="O48" s="57">
        <v>1</v>
      </c>
      <c r="P48" s="47"/>
      <c r="R48" s="248"/>
      <c r="S48" s="47"/>
      <c r="U48" s="248"/>
      <c r="V48" s="47"/>
      <c r="X48" s="58">
        <f>ROUND((_11_A通院１０．５*_11・２人),0)+ROUND((ROUND((_11_B通院１０．５＿０．５*_11・２人),0)*(1+_11・B夜間)),0)+ROUND((ROUND((_11_C通院１０．５＿０．５＿０．５*_11・２人),0)*(1+_11・C深夜)),0)</f>
        <v>716</v>
      </c>
      <c r="Y48" s="59"/>
    </row>
    <row r="49" spans="1:25" ht="16.5" customHeight="1" x14ac:dyDescent="0.2">
      <c r="A49" s="44">
        <v>16</v>
      </c>
      <c r="B49" s="53">
        <v>3785</v>
      </c>
      <c r="C49" s="69" t="s">
        <v>1206</v>
      </c>
      <c r="D49" s="245"/>
      <c r="E49" s="246"/>
      <c r="F49" s="245"/>
      <c r="G49" s="246"/>
      <c r="H49" s="245"/>
      <c r="I49" s="246"/>
      <c r="J49" s="258" t="s">
        <v>398</v>
      </c>
      <c r="K49" s="60" t="s">
        <v>397</v>
      </c>
      <c r="L49" s="61">
        <v>0.7</v>
      </c>
      <c r="M49" s="55"/>
      <c r="N49" s="56"/>
      <c r="O49" s="57"/>
      <c r="P49" s="47"/>
      <c r="R49" s="248"/>
      <c r="S49" s="47"/>
      <c r="U49" s="248"/>
      <c r="V49" s="47"/>
      <c r="X49" s="58">
        <f>ROUND((_11_A通院１０．５*_11・基礎１),0)+ROUND((ROUND((_11_B通院１０．５＿０．５*_11・基礎１),0)*(1+_11・B夜間)),0)+ROUND((ROUND((_11_C通院１０．５＿０．５＿０．５*_11・基礎１),0)*(1+_11・C深夜)),0)</f>
        <v>501</v>
      </c>
      <c r="Y49" s="59"/>
    </row>
    <row r="50" spans="1:25" ht="16.5" customHeight="1" x14ac:dyDescent="0.2">
      <c r="A50" s="44">
        <v>16</v>
      </c>
      <c r="B50" s="53">
        <v>3786</v>
      </c>
      <c r="C50" s="69" t="s">
        <v>1207</v>
      </c>
      <c r="D50" s="84">
        <f>_11_A通院１０．５</f>
        <v>256</v>
      </c>
      <c r="E50" s="25" t="s">
        <v>394</v>
      </c>
      <c r="F50" s="84">
        <f>_11_B通院１０．５＿０．５</f>
        <v>148</v>
      </c>
      <c r="G50" s="25" t="s">
        <v>394</v>
      </c>
      <c r="H50" s="84">
        <f>_11_C通院１０．５＿０．５＿０．５</f>
        <v>183</v>
      </c>
      <c r="I50" s="25" t="s">
        <v>394</v>
      </c>
      <c r="J50" s="257"/>
      <c r="K50" s="49"/>
      <c r="L50" s="50"/>
      <c r="M50" s="55" t="s">
        <v>396</v>
      </c>
      <c r="N50" s="56" t="s">
        <v>397</v>
      </c>
      <c r="O50" s="57">
        <v>1</v>
      </c>
      <c r="P50" s="47"/>
      <c r="R50" s="63"/>
      <c r="S50" s="47"/>
      <c r="U50" s="63"/>
      <c r="V50" s="54"/>
      <c r="W50" s="49"/>
      <c r="X50" s="58">
        <f>ROUND((ROUND((_11_A通院１０．５*_11・基礎１),0)*_11・２人),0)+ROUND((ROUND((ROUND((_11_B通院１０．５＿０．５*_11・基礎１),0)*_11・２人),0)*(1+_11・B夜間)),0)+ROUND((ROUND((ROUND((_11_C通院１０．５＿０．５＿０．５*_11・基礎１),0)*_11・２人),0)*(1+_11・C深夜)),0)</f>
        <v>501</v>
      </c>
      <c r="Y50" s="59"/>
    </row>
    <row r="51" spans="1:25" ht="16.5" customHeight="1" x14ac:dyDescent="0.2">
      <c r="A51" s="44">
        <v>16</v>
      </c>
      <c r="B51" s="53">
        <v>3787</v>
      </c>
      <c r="C51" s="69" t="s">
        <v>1208</v>
      </c>
      <c r="D51" s="67"/>
      <c r="E51" s="83"/>
      <c r="F51" s="67"/>
      <c r="G51" s="83"/>
      <c r="H51" s="243" t="s">
        <v>1987</v>
      </c>
      <c r="I51" s="244"/>
      <c r="J51" s="62"/>
      <c r="K51" s="60"/>
      <c r="L51" s="61"/>
      <c r="M51" s="55"/>
      <c r="N51" s="56"/>
      <c r="O51" s="57"/>
      <c r="P51" s="47"/>
      <c r="R51" s="63"/>
      <c r="S51" s="47"/>
      <c r="U51" s="63"/>
      <c r="V51" s="62"/>
      <c r="W51" s="60"/>
      <c r="X51" s="58">
        <f>_11_A通院１０．５+ROUND((_11_B通院１０．５＿０．５*(1+_11・B夜間)),0)+ROUND((_11_C通院１０．５＿０．５＿１．０*(1+_11・C深夜)),0)</f>
        <v>839</v>
      </c>
      <c r="Y51" s="59"/>
    </row>
    <row r="52" spans="1:25" ht="16.5" customHeight="1" x14ac:dyDescent="0.2">
      <c r="A52" s="44">
        <v>16</v>
      </c>
      <c r="B52" s="53">
        <v>3788</v>
      </c>
      <c r="C52" s="69" t="s">
        <v>1209</v>
      </c>
      <c r="D52" s="67"/>
      <c r="E52" s="83"/>
      <c r="F52" s="67"/>
      <c r="G52" s="83"/>
      <c r="H52" s="245"/>
      <c r="I52" s="246"/>
      <c r="J52" s="54"/>
      <c r="K52" s="49"/>
      <c r="L52" s="50"/>
      <c r="M52" s="55" t="s">
        <v>396</v>
      </c>
      <c r="N52" s="56" t="s">
        <v>397</v>
      </c>
      <c r="O52" s="57">
        <v>1</v>
      </c>
      <c r="P52" s="47"/>
      <c r="R52" s="63"/>
      <c r="S52" s="47"/>
      <c r="U52" s="63"/>
      <c r="V52" s="47"/>
      <c r="X52" s="58">
        <f>ROUND((_11_A通院１０．５*_11・２人),0)+ROUND((ROUND((_11_B通院１０．５＿０．５*_11・２人),0)*(1+_11・B夜間)),0)+ROUND((ROUND((_11_C通院１０．５＿０．５＿１．０*_11・２人),0)*(1+_11・C深夜)),0)</f>
        <v>839</v>
      </c>
      <c r="Y52" s="59"/>
    </row>
    <row r="53" spans="1:25" ht="16.5" customHeight="1" x14ac:dyDescent="0.2">
      <c r="A53" s="44">
        <v>16</v>
      </c>
      <c r="B53" s="53">
        <v>3789</v>
      </c>
      <c r="C53" s="69" t="s">
        <v>1210</v>
      </c>
      <c r="D53" s="67"/>
      <c r="E53" s="83"/>
      <c r="F53" s="67"/>
      <c r="G53" s="83"/>
      <c r="H53" s="245"/>
      <c r="I53" s="246"/>
      <c r="J53" s="258" t="s">
        <v>398</v>
      </c>
      <c r="K53" s="60" t="s">
        <v>397</v>
      </c>
      <c r="L53" s="61">
        <v>0.7</v>
      </c>
      <c r="M53" s="55"/>
      <c r="N53" s="56"/>
      <c r="O53" s="57"/>
      <c r="P53" s="47"/>
      <c r="R53" s="63"/>
      <c r="S53" s="47"/>
      <c r="U53" s="63"/>
      <c r="V53" s="47"/>
      <c r="X53" s="58">
        <f>ROUND((_11_A通院１０．５*_11・基礎１),0)+ROUND((ROUND((_11_B通院１０．５＿０．５*_11・基礎１),0)*(1+_11・B夜間)),0)+ROUND((ROUND((_11_C通院１０．５＿０．５＿１．０*_11・基礎１),0)*(1+_11・C深夜)),0)</f>
        <v>588</v>
      </c>
      <c r="Y53" s="59"/>
    </row>
    <row r="54" spans="1:25" ht="16.5" customHeight="1" x14ac:dyDescent="0.2">
      <c r="A54" s="44">
        <v>16</v>
      </c>
      <c r="B54" s="53">
        <v>3790</v>
      </c>
      <c r="C54" s="69" t="s">
        <v>1211</v>
      </c>
      <c r="D54" s="67"/>
      <c r="E54" s="83"/>
      <c r="F54" s="67"/>
      <c r="G54" s="83"/>
      <c r="H54" s="84">
        <f>_11_C通院１０．５＿０．５＿１．０</f>
        <v>265</v>
      </c>
      <c r="I54" s="25" t="s">
        <v>394</v>
      </c>
      <c r="J54" s="257"/>
      <c r="K54" s="49"/>
      <c r="L54" s="50"/>
      <c r="M54" s="55" t="s">
        <v>396</v>
      </c>
      <c r="N54" s="56" t="s">
        <v>397</v>
      </c>
      <c r="O54" s="57">
        <v>1</v>
      </c>
      <c r="P54" s="47"/>
      <c r="R54" s="63"/>
      <c r="S54" s="47"/>
      <c r="U54" s="63"/>
      <c r="V54" s="54"/>
      <c r="W54" s="49"/>
      <c r="X54" s="58">
        <f>ROUND((ROUND((_11_A通院１０．５*_11・基礎１),0)*_11・２人),0)+ROUND((ROUND((ROUND((_11_B通院１０．５＿０．５*_11・基礎１),0)*_11・２人),0)*(1+_11・B夜間)),0)+ROUND((ROUND((ROUND((_11_C通院１０．５＿０．５＿１．０*_11・基礎１),0)*_11・２人),0)*(1+_11・C深夜)),0)</f>
        <v>588</v>
      </c>
      <c r="Y54" s="59"/>
    </row>
    <row r="55" spans="1:25" ht="16.5" customHeight="1" x14ac:dyDescent="0.2">
      <c r="A55" s="44">
        <v>16</v>
      </c>
      <c r="B55" s="44">
        <v>3791</v>
      </c>
      <c r="C55" s="45" t="s">
        <v>1212</v>
      </c>
      <c r="D55" s="67"/>
      <c r="E55" s="83"/>
      <c r="F55" s="67"/>
      <c r="G55" s="85"/>
      <c r="H55" s="245" t="s">
        <v>1988</v>
      </c>
      <c r="I55" s="246"/>
      <c r="J55" s="47"/>
      <c r="M55" s="48"/>
      <c r="N55" s="49"/>
      <c r="O55" s="50"/>
      <c r="P55" s="47"/>
      <c r="R55" s="63"/>
      <c r="S55" s="47"/>
      <c r="U55" s="63"/>
      <c r="V55" s="47"/>
      <c r="X55" s="51">
        <f>_11_A通院１０．５+ROUND((_11_B通院１０．５＿０．５*(1+_11・B夜間)),0)+ROUND((_11_C通院１０．５＿０．５＿１．５*(1+_11・C深夜)),0)</f>
        <v>966</v>
      </c>
      <c r="Y55" s="59"/>
    </row>
    <row r="56" spans="1:25" ht="16.5" customHeight="1" x14ac:dyDescent="0.2">
      <c r="A56" s="44">
        <v>16</v>
      </c>
      <c r="B56" s="53">
        <v>3792</v>
      </c>
      <c r="C56" s="69" t="s">
        <v>1213</v>
      </c>
      <c r="D56" s="67"/>
      <c r="E56" s="83"/>
      <c r="F56" s="67"/>
      <c r="G56" s="83"/>
      <c r="H56" s="245"/>
      <c r="I56" s="246"/>
      <c r="J56" s="54"/>
      <c r="K56" s="49"/>
      <c r="L56" s="50"/>
      <c r="M56" s="55" t="s">
        <v>396</v>
      </c>
      <c r="N56" s="56" t="s">
        <v>397</v>
      </c>
      <c r="O56" s="57">
        <v>1</v>
      </c>
      <c r="P56" s="47"/>
      <c r="R56" s="63"/>
      <c r="S56" s="47"/>
      <c r="U56" s="63"/>
      <c r="V56" s="47"/>
      <c r="X56" s="58">
        <f>ROUND((_11_A通院１０．５*_11・２人),0)+ROUND((ROUND((_11_B通院１０．５＿０．５*_11・２人),0)*(1+_11・B夜間)),0)+ROUND((ROUND((_11_C通院１０．５＿０．５＿１．５*_11・２人),0)*(1+_11・C深夜)),0)</f>
        <v>966</v>
      </c>
      <c r="Y56" s="59"/>
    </row>
    <row r="57" spans="1:25" ht="16.5" customHeight="1" x14ac:dyDescent="0.2">
      <c r="A57" s="44">
        <v>16</v>
      </c>
      <c r="B57" s="53">
        <v>3793</v>
      </c>
      <c r="C57" s="69" t="s">
        <v>1214</v>
      </c>
      <c r="D57" s="67"/>
      <c r="E57" s="83"/>
      <c r="F57" s="67"/>
      <c r="G57" s="83"/>
      <c r="H57" s="245"/>
      <c r="I57" s="246"/>
      <c r="J57" s="258" t="s">
        <v>398</v>
      </c>
      <c r="K57" s="60" t="s">
        <v>397</v>
      </c>
      <c r="L57" s="61">
        <v>0.7</v>
      </c>
      <c r="M57" s="55"/>
      <c r="N57" s="56"/>
      <c r="O57" s="57"/>
      <c r="P57" s="47"/>
      <c r="R57" s="63"/>
      <c r="S57" s="47"/>
      <c r="U57" s="63"/>
      <c r="V57" s="47"/>
      <c r="X57" s="58">
        <f>ROUND((_11_A通院１０．５*_11・基礎１),0)+ROUND((ROUND((_11_B通院１０．５＿０．５*_11・基礎１),0)*(1+_11・B夜間)),0)+ROUND((ROUND((_11_C通院１０．５＿０．５＿１．５*_11・基礎１),0)*(1+_11・C深夜)),0)</f>
        <v>677</v>
      </c>
      <c r="Y57" s="59"/>
    </row>
    <row r="58" spans="1:25" ht="16.5" customHeight="1" x14ac:dyDescent="0.2">
      <c r="A58" s="44">
        <v>16</v>
      </c>
      <c r="B58" s="53">
        <v>3794</v>
      </c>
      <c r="C58" s="69" t="s">
        <v>1215</v>
      </c>
      <c r="D58" s="95"/>
      <c r="E58" s="25"/>
      <c r="F58" s="95"/>
      <c r="G58" s="25"/>
      <c r="H58" s="84">
        <f>_11_C通院１０．５＿０．５＿１．５</f>
        <v>350</v>
      </c>
      <c r="I58" s="25" t="s">
        <v>394</v>
      </c>
      <c r="J58" s="257"/>
      <c r="K58" s="49"/>
      <c r="L58" s="50"/>
      <c r="M58" s="55" t="s">
        <v>396</v>
      </c>
      <c r="N58" s="56" t="s">
        <v>397</v>
      </c>
      <c r="O58" s="57">
        <v>1</v>
      </c>
      <c r="P58" s="47"/>
      <c r="R58" s="63"/>
      <c r="S58" s="47"/>
      <c r="U58" s="63"/>
      <c r="V58" s="54"/>
      <c r="W58" s="49"/>
      <c r="X58" s="58">
        <f>ROUND((ROUND((_11_A通院１０．５*_11・基礎１),0)*_11・２人),0)+ROUND((ROUND((ROUND((_11_B通院１０．５＿０．５*_11・基礎１),0)*_11・２人),0)*(1+_11・B夜間)),0)+ROUND((ROUND((ROUND((_11_C通院１０．５＿０．５＿１．５*_11・基礎１),0)*_11・２人),0)*(1+_11・C深夜)),0)</f>
        <v>677</v>
      </c>
      <c r="Y58" s="59"/>
    </row>
    <row r="59" spans="1:25" ht="16.5" customHeight="1" x14ac:dyDescent="0.2">
      <c r="A59" s="44">
        <v>16</v>
      </c>
      <c r="B59" s="53">
        <v>3795</v>
      </c>
      <c r="C59" s="69" t="s">
        <v>1216</v>
      </c>
      <c r="D59" s="67"/>
      <c r="E59" s="83"/>
      <c r="F59" s="67"/>
      <c r="G59" s="83"/>
      <c r="H59" s="243" t="s">
        <v>1989</v>
      </c>
      <c r="I59" s="244"/>
      <c r="J59" s="62"/>
      <c r="K59" s="60"/>
      <c r="L59" s="61"/>
      <c r="M59" s="55"/>
      <c r="N59" s="56"/>
      <c r="O59" s="57"/>
      <c r="P59" s="47"/>
      <c r="R59" s="63"/>
      <c r="S59" s="47"/>
      <c r="U59" s="63"/>
      <c r="V59" s="62"/>
      <c r="W59" s="60"/>
      <c r="X59" s="58">
        <f>_11_A通院１０．５+ROUND((_11_B通院１０．５＿０．５*(1+_11・B夜間)),0)+ROUND((_11_C通院１０．５＿０．５＿２．０*(1+_11・C深夜)),0)</f>
        <v>1091</v>
      </c>
      <c r="Y59" s="59"/>
    </row>
    <row r="60" spans="1:25" ht="16.5" customHeight="1" x14ac:dyDescent="0.2">
      <c r="A60" s="44">
        <v>16</v>
      </c>
      <c r="B60" s="53">
        <v>3796</v>
      </c>
      <c r="C60" s="69" t="s">
        <v>1217</v>
      </c>
      <c r="D60" s="67"/>
      <c r="E60" s="83"/>
      <c r="F60" s="67"/>
      <c r="G60" s="83"/>
      <c r="H60" s="245"/>
      <c r="I60" s="246"/>
      <c r="J60" s="54"/>
      <c r="K60" s="49"/>
      <c r="L60" s="50"/>
      <c r="M60" s="55" t="s">
        <v>396</v>
      </c>
      <c r="N60" s="56" t="s">
        <v>397</v>
      </c>
      <c r="O60" s="57">
        <v>1</v>
      </c>
      <c r="P60" s="47"/>
      <c r="R60" s="63"/>
      <c r="S60" s="47"/>
      <c r="U60" s="63"/>
      <c r="V60" s="47"/>
      <c r="X60" s="58">
        <f>ROUND((_11_A通院１０．５*_11・２人),0)+ROUND((ROUND((_11_B通院１０．５＿０．５*_11・２人),0)*(1+_11・B夜間)),0)+ROUND((ROUND((_11_C通院１０．５＿０．５＿２．０*_11・２人),0)*(1+_11・C深夜)),0)</f>
        <v>1091</v>
      </c>
      <c r="Y60" s="59"/>
    </row>
    <row r="61" spans="1:25" ht="16.5" customHeight="1" x14ac:dyDescent="0.2">
      <c r="A61" s="44">
        <v>16</v>
      </c>
      <c r="B61" s="53">
        <v>3797</v>
      </c>
      <c r="C61" s="69" t="s">
        <v>1218</v>
      </c>
      <c r="D61" s="67"/>
      <c r="E61" s="83"/>
      <c r="F61" s="67"/>
      <c r="G61" s="83"/>
      <c r="H61" s="245"/>
      <c r="I61" s="246"/>
      <c r="J61" s="258" t="s">
        <v>398</v>
      </c>
      <c r="K61" s="60" t="s">
        <v>397</v>
      </c>
      <c r="L61" s="61">
        <v>0.7</v>
      </c>
      <c r="M61" s="55"/>
      <c r="N61" s="56"/>
      <c r="O61" s="57"/>
      <c r="P61" s="47"/>
      <c r="R61" s="63"/>
      <c r="S61" s="47"/>
      <c r="U61" s="63"/>
      <c r="V61" s="47"/>
      <c r="X61" s="58">
        <f>ROUND((_11_A通院１０．５*_11・基礎１),0)+ROUND((ROUND((_11_B通院１０．５＿０．５*_11・基礎１),0)*(1+_11・B夜間)),0)+ROUND((ROUND((_11_C通院１０．５＿０．５＿２．０*_11・基礎１),0)*(1+_11・C深夜)),0)</f>
        <v>764</v>
      </c>
      <c r="Y61" s="59"/>
    </row>
    <row r="62" spans="1:25" ht="16.5" customHeight="1" x14ac:dyDescent="0.2">
      <c r="A62" s="44">
        <v>16</v>
      </c>
      <c r="B62" s="53">
        <v>3798</v>
      </c>
      <c r="C62" s="69" t="s">
        <v>1219</v>
      </c>
      <c r="D62" s="67"/>
      <c r="E62" s="83"/>
      <c r="F62" s="67"/>
      <c r="G62" s="83"/>
      <c r="H62" s="84">
        <f>_11_C通院１０．５＿０．５＿２．０</f>
        <v>433</v>
      </c>
      <c r="I62" s="25" t="s">
        <v>394</v>
      </c>
      <c r="J62" s="257"/>
      <c r="K62" s="49"/>
      <c r="L62" s="50"/>
      <c r="M62" s="55" t="s">
        <v>396</v>
      </c>
      <c r="N62" s="56" t="s">
        <v>397</v>
      </c>
      <c r="O62" s="57">
        <v>1</v>
      </c>
      <c r="P62" s="47"/>
      <c r="R62" s="63"/>
      <c r="S62" s="47"/>
      <c r="U62" s="63"/>
      <c r="V62" s="54"/>
      <c r="W62" s="49"/>
      <c r="X62" s="58">
        <f>ROUND((ROUND((_11_A通院１０．５*_11・基礎１),0)*_11・２人),0)+ROUND((ROUND((ROUND((_11_B通院１０．５＿０．５*_11・基礎１),0)*_11・２人),0)*(1+_11・B夜間)),0)+ROUND((ROUND((ROUND((_11_C通院１０．５＿０．５＿２．０*_11・基礎１),0)*_11・２人),0)*(1+_11・C深夜)),0)</f>
        <v>764</v>
      </c>
      <c r="Y62" s="59"/>
    </row>
    <row r="63" spans="1:25" ht="16.5" customHeight="1" x14ac:dyDescent="0.2">
      <c r="A63" s="44">
        <v>16</v>
      </c>
      <c r="B63" s="53">
        <v>3799</v>
      </c>
      <c r="C63" s="69" t="s">
        <v>1220</v>
      </c>
      <c r="D63" s="243" t="s">
        <v>2009</v>
      </c>
      <c r="E63" s="244"/>
      <c r="F63" s="243" t="s">
        <v>1980</v>
      </c>
      <c r="G63" s="244"/>
      <c r="H63" s="243" t="s">
        <v>1986</v>
      </c>
      <c r="I63" s="244"/>
      <c r="J63" s="62"/>
      <c r="K63" s="60"/>
      <c r="L63" s="61"/>
      <c r="M63" s="55"/>
      <c r="N63" s="56"/>
      <c r="O63" s="57"/>
      <c r="P63" s="47"/>
      <c r="R63" s="63"/>
      <c r="S63" s="47"/>
      <c r="U63" s="63"/>
      <c r="V63" s="62"/>
      <c r="W63" s="60"/>
      <c r="X63" s="58">
        <f>_11_A通院１１．０+ROUND((_11_B通院１１．０＿０．５*(1+_11・B夜間)),0)+ROUND((_11_C通院１１．０＿０．５＿０．５*(1+_11・C深夜)),0)</f>
        <v>756</v>
      </c>
      <c r="Y63" s="59"/>
    </row>
    <row r="64" spans="1:25" ht="16.5" customHeight="1" x14ac:dyDescent="0.2">
      <c r="A64" s="44">
        <v>16</v>
      </c>
      <c r="B64" s="53">
        <v>3800</v>
      </c>
      <c r="C64" s="69" t="s">
        <v>1221</v>
      </c>
      <c r="D64" s="245"/>
      <c r="E64" s="246"/>
      <c r="F64" s="245"/>
      <c r="G64" s="246"/>
      <c r="H64" s="245"/>
      <c r="I64" s="246"/>
      <c r="J64" s="54"/>
      <c r="K64" s="49"/>
      <c r="L64" s="50"/>
      <c r="M64" s="55" t="s">
        <v>396</v>
      </c>
      <c r="N64" s="56" t="s">
        <v>397</v>
      </c>
      <c r="O64" s="57">
        <v>1</v>
      </c>
      <c r="P64" s="47"/>
      <c r="R64" s="63"/>
      <c r="S64" s="47"/>
      <c r="U64" s="63"/>
      <c r="V64" s="47"/>
      <c r="X64" s="58">
        <f>ROUND((_11_A通院１１．０*_11・２人),0)+ROUND((ROUND((_11_B通院１１．０＿０．５*_11・２人),0)*(1+_11・B夜間)),0)+ROUND((ROUND((_11_C通院１１．０＿０．５＿０．５*_11・２人),0)*(1+_11・C深夜)),0)</f>
        <v>756</v>
      </c>
      <c r="Y64" s="59"/>
    </row>
    <row r="65" spans="1:25" ht="16.5" customHeight="1" x14ac:dyDescent="0.2">
      <c r="A65" s="44">
        <v>16</v>
      </c>
      <c r="B65" s="53">
        <v>3801</v>
      </c>
      <c r="C65" s="69" t="s">
        <v>1222</v>
      </c>
      <c r="D65" s="245"/>
      <c r="E65" s="246"/>
      <c r="F65" s="245"/>
      <c r="G65" s="246"/>
      <c r="H65" s="245"/>
      <c r="I65" s="246"/>
      <c r="J65" s="258" t="s">
        <v>398</v>
      </c>
      <c r="K65" s="60" t="s">
        <v>397</v>
      </c>
      <c r="L65" s="61">
        <v>0.7</v>
      </c>
      <c r="M65" s="55"/>
      <c r="N65" s="56"/>
      <c r="O65" s="57"/>
      <c r="P65" s="47"/>
      <c r="R65" s="63"/>
      <c r="S65" s="47"/>
      <c r="U65" s="63"/>
      <c r="V65" s="47"/>
      <c r="X65" s="58">
        <f>ROUND((_11_A通院１１．０*_11・基礎１),0)+ROUND((ROUND((_11_B通院１１．０＿０．５*_11・基礎１),0)*(1+_11・B夜間)),0)+ROUND((ROUND((_11_C通院１１．０＿０．５＿０．５*_11・基礎１),0)*(1+_11・C深夜)),0)</f>
        <v>529</v>
      </c>
      <c r="Y65" s="59"/>
    </row>
    <row r="66" spans="1:25" ht="16.5" customHeight="1" x14ac:dyDescent="0.2">
      <c r="A66" s="44">
        <v>16</v>
      </c>
      <c r="B66" s="53">
        <v>3802</v>
      </c>
      <c r="C66" s="69" t="s">
        <v>1223</v>
      </c>
      <c r="D66" s="84">
        <f>_11_A通院１１．０</f>
        <v>404</v>
      </c>
      <c r="E66" s="25" t="s">
        <v>394</v>
      </c>
      <c r="F66" s="84">
        <f>_11_B通院１１．０＿０．５</f>
        <v>183</v>
      </c>
      <c r="G66" s="25" t="s">
        <v>394</v>
      </c>
      <c r="H66" s="84">
        <f>_11_C通院１１．０＿０．５＿０．５</f>
        <v>82</v>
      </c>
      <c r="I66" s="25" t="s">
        <v>394</v>
      </c>
      <c r="J66" s="257"/>
      <c r="K66" s="49"/>
      <c r="L66" s="50"/>
      <c r="M66" s="55" t="s">
        <v>396</v>
      </c>
      <c r="N66" s="56" t="s">
        <v>397</v>
      </c>
      <c r="O66" s="57">
        <v>1</v>
      </c>
      <c r="P66" s="47"/>
      <c r="R66" s="63"/>
      <c r="S66" s="47"/>
      <c r="U66" s="63"/>
      <c r="V66" s="54"/>
      <c r="W66" s="49"/>
      <c r="X66" s="58">
        <f>ROUND((ROUND((_11_A通院１１．０*_11・基礎１),0)*_11・２人),0)+ROUND((ROUND((ROUND((_11_B通院１１．０＿０．５*_11・基礎１),0)*_11・２人),0)*(1+_11・B夜間)),0)+ROUND((ROUND((ROUND((_11_C通院１１．０＿０．５＿０．５*_11・基礎１),0)*_11・２人),0)*(1+_11・C深夜)),0)</f>
        <v>529</v>
      </c>
      <c r="Y66" s="59"/>
    </row>
    <row r="67" spans="1:25" ht="16.5" customHeight="1" x14ac:dyDescent="0.2">
      <c r="A67" s="44">
        <v>16</v>
      </c>
      <c r="B67" s="53">
        <v>3803</v>
      </c>
      <c r="C67" s="69" t="s">
        <v>1224</v>
      </c>
      <c r="D67" s="67"/>
      <c r="E67" s="83"/>
      <c r="F67" s="67"/>
      <c r="G67" s="83"/>
      <c r="H67" s="243" t="s">
        <v>1987</v>
      </c>
      <c r="I67" s="244"/>
      <c r="J67" s="62"/>
      <c r="K67" s="60"/>
      <c r="L67" s="61"/>
      <c r="M67" s="55"/>
      <c r="N67" s="56"/>
      <c r="O67" s="57"/>
      <c r="P67" s="47"/>
      <c r="R67" s="63"/>
      <c r="S67" s="47"/>
      <c r="U67" s="63"/>
      <c r="V67" s="62"/>
      <c r="W67" s="60"/>
      <c r="X67" s="58">
        <f>_11_A通院１１．０+ROUND((_11_B通院１１．０＿０．５*(1+_11・B夜間)),0)+ROUND((_11_C通院１１．０＿０．５＿１．０*(1+_11・C深夜)),0)</f>
        <v>884</v>
      </c>
      <c r="Y67" s="59"/>
    </row>
    <row r="68" spans="1:25" ht="16.5" customHeight="1" x14ac:dyDescent="0.2">
      <c r="A68" s="44">
        <v>16</v>
      </c>
      <c r="B68" s="53">
        <v>3804</v>
      </c>
      <c r="C68" s="69" t="s">
        <v>1225</v>
      </c>
      <c r="D68" s="67"/>
      <c r="E68" s="83"/>
      <c r="F68" s="67"/>
      <c r="G68" s="83"/>
      <c r="H68" s="245"/>
      <c r="I68" s="246"/>
      <c r="J68" s="54"/>
      <c r="K68" s="49"/>
      <c r="L68" s="50"/>
      <c r="M68" s="55" t="s">
        <v>396</v>
      </c>
      <c r="N68" s="56" t="s">
        <v>397</v>
      </c>
      <c r="O68" s="57">
        <v>1</v>
      </c>
      <c r="P68" s="47"/>
      <c r="R68" s="63"/>
      <c r="S68" s="47"/>
      <c r="U68" s="63"/>
      <c r="V68" s="47"/>
      <c r="X68" s="58">
        <f>ROUND((_11_A通院１１．０*_11・２人),0)+ROUND((ROUND((_11_B通院１１．０＿０．５*_11・２人),0)*(1+_11・B夜間)),0)+ROUND((ROUND((_11_C通院１１．０＿０．５＿１．０*_11・２人),0)*(1+_11・C深夜)),0)</f>
        <v>884</v>
      </c>
      <c r="Y68" s="59"/>
    </row>
    <row r="69" spans="1:25" ht="16.5" customHeight="1" x14ac:dyDescent="0.2">
      <c r="A69" s="44">
        <v>16</v>
      </c>
      <c r="B69" s="53">
        <v>3805</v>
      </c>
      <c r="C69" s="69" t="s">
        <v>1226</v>
      </c>
      <c r="D69" s="67"/>
      <c r="E69" s="83"/>
      <c r="F69" s="67"/>
      <c r="G69" s="83"/>
      <c r="H69" s="245"/>
      <c r="I69" s="246"/>
      <c r="J69" s="258" t="s">
        <v>398</v>
      </c>
      <c r="K69" s="60" t="s">
        <v>397</v>
      </c>
      <c r="L69" s="61">
        <v>0.7</v>
      </c>
      <c r="M69" s="55"/>
      <c r="N69" s="56"/>
      <c r="O69" s="57"/>
      <c r="P69" s="47"/>
      <c r="R69" s="63"/>
      <c r="S69" s="47"/>
      <c r="U69" s="63"/>
      <c r="V69" s="47"/>
      <c r="X69" s="58">
        <f>ROUND((_11_A通院１１．０*_11・基礎１),0)+ROUND((ROUND((_11_B通院１１．０＿０．５*_11・基礎１),0)*(1+_11・B夜間)),0)+ROUND((ROUND((_11_C通院１１．０＿０．５＿１．０*_11・基礎１),0)*(1+_11・C深夜)),0)</f>
        <v>619</v>
      </c>
      <c r="Y69" s="59"/>
    </row>
    <row r="70" spans="1:25" ht="16.5" customHeight="1" x14ac:dyDescent="0.2">
      <c r="A70" s="44">
        <v>16</v>
      </c>
      <c r="B70" s="53">
        <v>3806</v>
      </c>
      <c r="C70" s="69" t="s">
        <v>1227</v>
      </c>
      <c r="D70" s="67"/>
      <c r="E70" s="83"/>
      <c r="F70" s="67"/>
      <c r="G70" s="83"/>
      <c r="H70" s="84">
        <f>_11_C通院１１．０＿０．５＿１．０</f>
        <v>167</v>
      </c>
      <c r="I70" s="25" t="s">
        <v>394</v>
      </c>
      <c r="J70" s="257"/>
      <c r="K70" s="49"/>
      <c r="L70" s="50"/>
      <c r="M70" s="55" t="s">
        <v>396</v>
      </c>
      <c r="N70" s="56" t="s">
        <v>397</v>
      </c>
      <c r="O70" s="57">
        <v>1</v>
      </c>
      <c r="P70" s="47"/>
      <c r="R70" s="63"/>
      <c r="S70" s="47"/>
      <c r="U70" s="63"/>
      <c r="V70" s="54"/>
      <c r="W70" s="49"/>
      <c r="X70" s="58">
        <f>ROUND((ROUND((_11_A通院１１．０*_11・基礎１),0)*_11・２人),0)+ROUND((ROUND((ROUND((_11_B通院１１．０＿０．５*_11・基礎１),0)*_11・２人),0)*(1+_11・B夜間)),0)+ROUND((ROUND((ROUND((_11_C通院１１．０＿０．５＿１．０*_11・基礎１),0)*_11・２人),0)*(1+_11・C深夜)),0)</f>
        <v>619</v>
      </c>
      <c r="Y70" s="59"/>
    </row>
    <row r="71" spans="1:25" ht="16.5" customHeight="1" x14ac:dyDescent="0.2">
      <c r="A71" s="44">
        <v>16</v>
      </c>
      <c r="B71" s="53">
        <v>3807</v>
      </c>
      <c r="C71" s="69" t="s">
        <v>1228</v>
      </c>
      <c r="D71" s="67"/>
      <c r="E71" s="83"/>
      <c r="F71" s="67"/>
      <c r="G71" s="83"/>
      <c r="H71" s="243" t="s">
        <v>1988</v>
      </c>
      <c r="I71" s="244"/>
      <c r="J71" s="62"/>
      <c r="K71" s="60"/>
      <c r="L71" s="61"/>
      <c r="M71" s="55"/>
      <c r="N71" s="56"/>
      <c r="O71" s="57"/>
      <c r="P71" s="47"/>
      <c r="R71" s="63"/>
      <c r="S71" s="47"/>
      <c r="U71" s="63"/>
      <c r="V71" s="62"/>
      <c r="W71" s="60"/>
      <c r="X71" s="58">
        <f>_11_A通院１１．０+ROUND((_11_B通院１１．０＿０．５*(1+_11・B夜間)),0)+ROUND((_11_C通院１１．０＿０．５＿１．５*(1+_11・C深夜)),0)</f>
        <v>1008</v>
      </c>
      <c r="Y71" s="59"/>
    </row>
    <row r="72" spans="1:25" ht="16.5" customHeight="1" x14ac:dyDescent="0.2">
      <c r="A72" s="44">
        <v>16</v>
      </c>
      <c r="B72" s="53">
        <v>3808</v>
      </c>
      <c r="C72" s="69" t="s">
        <v>1229</v>
      </c>
      <c r="D72" s="67"/>
      <c r="E72" s="83"/>
      <c r="F72" s="67"/>
      <c r="G72" s="83"/>
      <c r="H72" s="245"/>
      <c r="I72" s="246"/>
      <c r="J72" s="54"/>
      <c r="K72" s="49"/>
      <c r="L72" s="50"/>
      <c r="M72" s="55" t="s">
        <v>396</v>
      </c>
      <c r="N72" s="56" t="s">
        <v>397</v>
      </c>
      <c r="O72" s="57">
        <v>1</v>
      </c>
      <c r="P72" s="47"/>
      <c r="R72" s="63"/>
      <c r="S72" s="47"/>
      <c r="U72" s="63"/>
      <c r="V72" s="47"/>
      <c r="X72" s="58">
        <f>ROUND((_11_A通院１１．０*_11・２人),0)+ROUND((ROUND((_11_B通院１１．０＿０．５*_11・２人),0)*(1+_11・B夜間)),0)+ROUND((ROUND((_11_C通院１１．０＿０．５＿１．５*_11・２人),0)*(1+_11・C深夜)),0)</f>
        <v>1008</v>
      </c>
      <c r="Y72" s="59"/>
    </row>
    <row r="73" spans="1:25" ht="16.5" customHeight="1" x14ac:dyDescent="0.2">
      <c r="A73" s="44">
        <v>16</v>
      </c>
      <c r="B73" s="53">
        <v>3809</v>
      </c>
      <c r="C73" s="69" t="s">
        <v>1230</v>
      </c>
      <c r="D73" s="67"/>
      <c r="E73" s="83"/>
      <c r="F73" s="67"/>
      <c r="G73" s="83"/>
      <c r="H73" s="245"/>
      <c r="I73" s="246"/>
      <c r="J73" s="258" t="s">
        <v>398</v>
      </c>
      <c r="K73" s="60" t="s">
        <v>397</v>
      </c>
      <c r="L73" s="61">
        <v>0.7</v>
      </c>
      <c r="M73" s="55"/>
      <c r="N73" s="56"/>
      <c r="O73" s="57"/>
      <c r="P73" s="47"/>
      <c r="R73" s="63"/>
      <c r="S73" s="47"/>
      <c r="U73" s="63"/>
      <c r="V73" s="47"/>
      <c r="X73" s="58">
        <f>ROUND((_11_A通院１１．０*_11・基礎１),0)+ROUND((ROUND((_11_B通院１１．０＿０．５*_11・基礎１),0)*(1+_11・B夜間)),0)+ROUND((ROUND((_11_C通院１１．０＿０．５＿１．５*_11・基礎１),0)*(1+_11・C深夜)),0)</f>
        <v>706</v>
      </c>
      <c r="Y73" s="59"/>
    </row>
    <row r="74" spans="1:25" ht="16.5" customHeight="1" x14ac:dyDescent="0.2">
      <c r="A74" s="44">
        <v>16</v>
      </c>
      <c r="B74" s="53">
        <v>3810</v>
      </c>
      <c r="C74" s="69" t="s">
        <v>1231</v>
      </c>
      <c r="D74" s="95"/>
      <c r="E74" s="25"/>
      <c r="F74" s="95"/>
      <c r="G74" s="25"/>
      <c r="H74" s="84">
        <f>_11_C通院１１．０＿０．５＿１．５</f>
        <v>250</v>
      </c>
      <c r="I74" s="25" t="s">
        <v>394</v>
      </c>
      <c r="J74" s="257"/>
      <c r="K74" s="49"/>
      <c r="L74" s="50"/>
      <c r="M74" s="55" t="s">
        <v>396</v>
      </c>
      <c r="N74" s="56" t="s">
        <v>397</v>
      </c>
      <c r="O74" s="57">
        <v>1</v>
      </c>
      <c r="P74" s="47"/>
      <c r="R74" s="63"/>
      <c r="S74" s="47"/>
      <c r="U74" s="63"/>
      <c r="V74" s="54"/>
      <c r="W74" s="49"/>
      <c r="X74" s="58">
        <f>ROUND((ROUND((_11_A通院１１．０*_11・基礎１),0)*_11・２人),0)+ROUND((ROUND((ROUND((_11_B通院１１．０＿０．５*_11・基礎１),0)*_11・２人),0)*(1+_11・B夜間)),0)+ROUND((ROUND((ROUND((_11_C通院１１．０＿０．５＿１．５*_11・基礎１),0)*_11・２人),0)*(1+_11・C深夜)),0)</f>
        <v>706</v>
      </c>
      <c r="Y74" s="59"/>
    </row>
    <row r="75" spans="1:25" ht="16.5" customHeight="1" x14ac:dyDescent="0.2">
      <c r="A75" s="44">
        <v>16</v>
      </c>
      <c r="B75" s="53">
        <v>3811</v>
      </c>
      <c r="C75" s="69" t="s">
        <v>1232</v>
      </c>
      <c r="D75" s="243" t="s">
        <v>2010</v>
      </c>
      <c r="E75" s="244"/>
      <c r="F75" s="243" t="s">
        <v>1980</v>
      </c>
      <c r="G75" s="244"/>
      <c r="H75" s="243" t="s">
        <v>1986</v>
      </c>
      <c r="I75" s="244"/>
      <c r="J75" s="62"/>
      <c r="K75" s="60"/>
      <c r="L75" s="61"/>
      <c r="M75" s="55"/>
      <c r="N75" s="56"/>
      <c r="O75" s="57"/>
      <c r="P75" s="47"/>
      <c r="R75" s="63"/>
      <c r="S75" s="47"/>
      <c r="U75" s="63"/>
      <c r="V75" s="62"/>
      <c r="W75" s="60"/>
      <c r="X75" s="58">
        <f>_11_A通院１１．５+ROUND((_11_B通院１１．５＿０．５*(1+_11・B夜間)),0)+ROUND((_11_C通院１１．５＿０．５＿０．５*(1+_11・C深夜)),0)</f>
        <v>818</v>
      </c>
      <c r="Y75" s="59"/>
    </row>
    <row r="76" spans="1:25" ht="16.5" customHeight="1" x14ac:dyDescent="0.2">
      <c r="A76" s="44">
        <v>16</v>
      </c>
      <c r="B76" s="53">
        <v>3812</v>
      </c>
      <c r="C76" s="69" t="s">
        <v>1233</v>
      </c>
      <c r="D76" s="245"/>
      <c r="E76" s="246"/>
      <c r="F76" s="245"/>
      <c r="G76" s="246"/>
      <c r="H76" s="245"/>
      <c r="I76" s="246"/>
      <c r="J76" s="54"/>
      <c r="K76" s="49"/>
      <c r="L76" s="50"/>
      <c r="M76" s="55" t="s">
        <v>396</v>
      </c>
      <c r="N76" s="56" t="s">
        <v>397</v>
      </c>
      <c r="O76" s="57">
        <v>1</v>
      </c>
      <c r="P76" s="47"/>
      <c r="R76" s="63"/>
      <c r="S76" s="47"/>
      <c r="U76" s="63"/>
      <c r="V76" s="47"/>
      <c r="X76" s="58">
        <f>ROUND((_11_A通院１１．５*_11・２人),0)+ROUND((ROUND((_11_B通院１１．５＿０．５*_11・２人),0)*(1+_11・B夜間)),0)+ROUND((ROUND((_11_C通院１１．５＿０．５＿０．５*_11・２人),0)*(1+_11・C深夜)),0)</f>
        <v>818</v>
      </c>
      <c r="Y76" s="59"/>
    </row>
    <row r="77" spans="1:25" ht="16.5" customHeight="1" x14ac:dyDescent="0.2">
      <c r="A77" s="44">
        <v>16</v>
      </c>
      <c r="B77" s="53">
        <v>3813</v>
      </c>
      <c r="C77" s="69" t="s">
        <v>1234</v>
      </c>
      <c r="D77" s="245"/>
      <c r="E77" s="246"/>
      <c r="F77" s="245"/>
      <c r="G77" s="246"/>
      <c r="H77" s="245"/>
      <c r="I77" s="246"/>
      <c r="J77" s="258" t="s">
        <v>398</v>
      </c>
      <c r="K77" s="60" t="s">
        <v>397</v>
      </c>
      <c r="L77" s="61">
        <v>0.7</v>
      </c>
      <c r="M77" s="55"/>
      <c r="N77" s="56"/>
      <c r="O77" s="57"/>
      <c r="P77" s="47"/>
      <c r="R77" s="63"/>
      <c r="S77" s="47"/>
      <c r="U77" s="63"/>
      <c r="V77" s="47"/>
      <c r="X77" s="58">
        <f>ROUND((_11_A通院１１．５*_11・基礎１),0)+ROUND((ROUND((_11_B通院１１．５＿０．５*_11・基礎１),0)*(1+_11・B夜間)),0)+ROUND((ROUND((_11_C通院１１．５＿０．５＿０．５*_11・基礎１),0)*(1+_11・C深夜)),0)</f>
        <v>572</v>
      </c>
      <c r="Y77" s="59"/>
    </row>
    <row r="78" spans="1:25" ht="16.5" customHeight="1" x14ac:dyDescent="0.2">
      <c r="A78" s="44">
        <v>16</v>
      </c>
      <c r="B78" s="53">
        <v>3814</v>
      </c>
      <c r="C78" s="69" t="s">
        <v>1235</v>
      </c>
      <c r="D78" s="84">
        <f>_11_A通院１１．５</f>
        <v>587</v>
      </c>
      <c r="E78" s="25" t="s">
        <v>394</v>
      </c>
      <c r="F78" s="84">
        <f>_11_B通院１１．５＿０．５</f>
        <v>82</v>
      </c>
      <c r="G78" s="25" t="s">
        <v>394</v>
      </c>
      <c r="H78" s="84">
        <f>_11_C通院１１．５＿０．５＿０．５</f>
        <v>85</v>
      </c>
      <c r="I78" s="25" t="s">
        <v>394</v>
      </c>
      <c r="J78" s="257"/>
      <c r="K78" s="49"/>
      <c r="L78" s="50"/>
      <c r="M78" s="55" t="s">
        <v>396</v>
      </c>
      <c r="N78" s="56" t="s">
        <v>397</v>
      </c>
      <c r="O78" s="57">
        <v>1</v>
      </c>
      <c r="P78" s="47"/>
      <c r="R78" s="63"/>
      <c r="S78" s="47"/>
      <c r="U78" s="63"/>
      <c r="V78" s="54"/>
      <c r="W78" s="49"/>
      <c r="X78" s="58">
        <f>ROUND((ROUND((_11_A通院１１．５*_11・基礎１),0)*_11・２人),0)+ROUND((ROUND((ROUND((_11_B通院１１．５＿０．５*_11・基礎１),0)*_11・２人),0)*(1+_11・B夜間)),0)+ROUND((ROUND((ROUND((_11_C通院１１．５＿０．５＿０．５*_11・基礎１),0)*_11・２人),0)*(1+_11・C深夜)),0)</f>
        <v>572</v>
      </c>
      <c r="Y78" s="59"/>
    </row>
    <row r="79" spans="1:25" ht="16.5" customHeight="1" x14ac:dyDescent="0.2">
      <c r="A79" s="44">
        <v>16</v>
      </c>
      <c r="B79" s="53">
        <v>3815</v>
      </c>
      <c r="C79" s="69" t="s">
        <v>1236</v>
      </c>
      <c r="D79" s="67"/>
      <c r="E79" s="83"/>
      <c r="F79" s="67"/>
      <c r="G79" s="83"/>
      <c r="H79" s="243" t="s">
        <v>1987</v>
      </c>
      <c r="I79" s="244"/>
      <c r="J79" s="62"/>
      <c r="K79" s="60"/>
      <c r="L79" s="61"/>
      <c r="M79" s="55"/>
      <c r="N79" s="56"/>
      <c r="O79" s="57"/>
      <c r="P79" s="47"/>
      <c r="R79" s="63"/>
      <c r="S79" s="47"/>
      <c r="U79" s="63"/>
      <c r="V79" s="62"/>
      <c r="W79" s="60"/>
      <c r="X79" s="58">
        <f>_11_A通院１１．５+ROUND((_11_B通院１１．５＿０．５*(1+_11・B夜間)),0)+ROUND((_11_C通院１１．５＿０．５＿１．０*(1+_11・C深夜)),0)</f>
        <v>942</v>
      </c>
      <c r="Y79" s="59"/>
    </row>
    <row r="80" spans="1:25" ht="16.5" customHeight="1" x14ac:dyDescent="0.2">
      <c r="A80" s="44">
        <v>16</v>
      </c>
      <c r="B80" s="53">
        <v>3816</v>
      </c>
      <c r="C80" s="69" t="s">
        <v>1237</v>
      </c>
      <c r="D80" s="67"/>
      <c r="E80" s="83"/>
      <c r="F80" s="67"/>
      <c r="G80" s="83"/>
      <c r="H80" s="245"/>
      <c r="I80" s="246"/>
      <c r="J80" s="54"/>
      <c r="K80" s="49"/>
      <c r="L80" s="50"/>
      <c r="M80" s="55" t="s">
        <v>396</v>
      </c>
      <c r="N80" s="56" t="s">
        <v>397</v>
      </c>
      <c r="O80" s="57">
        <v>1</v>
      </c>
      <c r="P80" s="47"/>
      <c r="R80" s="63"/>
      <c r="S80" s="47"/>
      <c r="U80" s="63"/>
      <c r="V80" s="47"/>
      <c r="X80" s="58">
        <f>ROUND((_11_A通院１１．５*_11・２人),0)+ROUND((ROUND((_11_B通院１１．５＿０．５*_11・２人),0)*(1+_11・B夜間)),0)+ROUND((ROUND((_11_C通院１１．５＿０．５＿１．０*_11・２人),0)*(1+_11・C深夜)),0)</f>
        <v>942</v>
      </c>
      <c r="Y80" s="59"/>
    </row>
    <row r="81" spans="1:25" ht="16.5" customHeight="1" x14ac:dyDescent="0.2">
      <c r="A81" s="44">
        <v>16</v>
      </c>
      <c r="B81" s="53">
        <v>3817</v>
      </c>
      <c r="C81" s="69" t="s">
        <v>1238</v>
      </c>
      <c r="D81" s="67"/>
      <c r="E81" s="83"/>
      <c r="F81" s="67"/>
      <c r="G81" s="83"/>
      <c r="H81" s="245"/>
      <c r="I81" s="246"/>
      <c r="J81" s="258" t="s">
        <v>398</v>
      </c>
      <c r="K81" s="60" t="s">
        <v>397</v>
      </c>
      <c r="L81" s="61">
        <v>0.7</v>
      </c>
      <c r="M81" s="55"/>
      <c r="N81" s="56"/>
      <c r="O81" s="57"/>
      <c r="P81" s="47"/>
      <c r="R81" s="63"/>
      <c r="S81" s="47"/>
      <c r="U81" s="63"/>
      <c r="V81" s="47"/>
      <c r="X81" s="58">
        <f>ROUND((_11_A通院１１．５*_11・基礎１),0)+ROUND((ROUND((_11_B通院１１．５＿０．５*_11・基礎１),0)*(1+_11・B夜間)),0)+ROUND((ROUND((_11_C通院１１．５＿０．５＿１．０*_11・基礎１),0)*(1+_11・C深夜)),0)</f>
        <v>659</v>
      </c>
      <c r="Y81" s="59"/>
    </row>
    <row r="82" spans="1:25" ht="16.5" customHeight="1" x14ac:dyDescent="0.2">
      <c r="A82" s="44">
        <v>16</v>
      </c>
      <c r="B82" s="53">
        <v>3818</v>
      </c>
      <c r="C82" s="69" t="s">
        <v>1239</v>
      </c>
      <c r="D82" s="67"/>
      <c r="E82" s="83"/>
      <c r="F82" s="67"/>
      <c r="G82" s="83"/>
      <c r="H82" s="84">
        <f>_11_C通院１１．５＿０．５＿１．０</f>
        <v>168</v>
      </c>
      <c r="I82" s="25" t="s">
        <v>394</v>
      </c>
      <c r="J82" s="257"/>
      <c r="K82" s="49"/>
      <c r="L82" s="50"/>
      <c r="M82" s="55" t="s">
        <v>396</v>
      </c>
      <c r="N82" s="56" t="s">
        <v>397</v>
      </c>
      <c r="O82" s="57">
        <v>1</v>
      </c>
      <c r="P82" s="47"/>
      <c r="R82" s="63"/>
      <c r="S82" s="47"/>
      <c r="U82" s="63"/>
      <c r="V82" s="54"/>
      <c r="W82" s="49"/>
      <c r="X82" s="58">
        <f>ROUND((ROUND((_11_A通院１１．５*_11・基礎１),0)*_11・２人),0)+ROUND((ROUND((ROUND((_11_B通院１１．５＿０．５*_11・基礎１),0)*_11・２人),0)*(1+_11・B夜間)),0)+ROUND((ROUND((ROUND((_11_C通院１１．５＿０．５＿１．０*_11・基礎１),0)*_11・２人),0)*(1+_11・C深夜)),0)</f>
        <v>659</v>
      </c>
      <c r="Y82" s="59"/>
    </row>
    <row r="83" spans="1:25" ht="16.5" customHeight="1" x14ac:dyDescent="0.2">
      <c r="A83" s="44">
        <v>16</v>
      </c>
      <c r="B83" s="53">
        <v>3819</v>
      </c>
      <c r="C83" s="69" t="s">
        <v>1240</v>
      </c>
      <c r="D83" s="243" t="s">
        <v>2011</v>
      </c>
      <c r="E83" s="244"/>
      <c r="F83" s="243" t="s">
        <v>1980</v>
      </c>
      <c r="G83" s="244"/>
      <c r="H83" s="243" t="s">
        <v>1986</v>
      </c>
      <c r="I83" s="244"/>
      <c r="J83" s="62"/>
      <c r="K83" s="60"/>
      <c r="L83" s="61"/>
      <c r="M83" s="55"/>
      <c r="N83" s="56"/>
      <c r="O83" s="57"/>
      <c r="P83" s="47"/>
      <c r="Q83" s="176"/>
      <c r="R83" s="63"/>
      <c r="S83" s="47"/>
      <c r="T83" s="176"/>
      <c r="U83" s="63"/>
      <c r="V83" s="62"/>
      <c r="W83" s="60"/>
      <c r="X83" s="58">
        <f>_11_A通院１２．０+ROUND((_11_B通院１２．０＿０．５*(1+_11・B夜間)),0)+ROUND((_11_C通院１２．０＿０．５＿０．５*(1+_11・C深夜)),0)</f>
        <v>900</v>
      </c>
      <c r="Y83" s="59"/>
    </row>
    <row r="84" spans="1:25" ht="16.5" customHeight="1" x14ac:dyDescent="0.2">
      <c r="A84" s="44">
        <v>16</v>
      </c>
      <c r="B84" s="53">
        <v>3820</v>
      </c>
      <c r="C84" s="69" t="s">
        <v>1241</v>
      </c>
      <c r="D84" s="245"/>
      <c r="E84" s="246"/>
      <c r="F84" s="245"/>
      <c r="G84" s="246"/>
      <c r="H84" s="245"/>
      <c r="I84" s="246"/>
      <c r="J84" s="54"/>
      <c r="K84" s="49"/>
      <c r="L84" s="50"/>
      <c r="M84" s="55" t="s">
        <v>396</v>
      </c>
      <c r="N84" s="56" t="s">
        <v>397</v>
      </c>
      <c r="O84" s="57">
        <v>1</v>
      </c>
      <c r="P84" s="47"/>
      <c r="Q84" s="176"/>
      <c r="R84" s="63"/>
      <c r="S84" s="47"/>
      <c r="T84" s="176"/>
      <c r="U84" s="63"/>
      <c r="V84" s="47"/>
      <c r="W84" s="175"/>
      <c r="X84" s="58">
        <f>ROUND((_11_A通院１２．０*_11・２人),0)+ROUND((ROUND((_11_B通院１２．０＿０．５*_11・２人),0)*(1+_11・B夜間)),0)+ROUND((ROUND((_11_C通院１２．０＿０．５＿０．５*_11・２人),0)*(1+_11・C深夜)),0)</f>
        <v>900</v>
      </c>
      <c r="Y84" s="59"/>
    </row>
    <row r="85" spans="1:25" ht="16.5" customHeight="1" x14ac:dyDescent="0.2">
      <c r="A85" s="44">
        <v>16</v>
      </c>
      <c r="B85" s="53">
        <v>3821</v>
      </c>
      <c r="C85" s="69" t="s">
        <v>1242</v>
      </c>
      <c r="D85" s="245"/>
      <c r="E85" s="246"/>
      <c r="F85" s="245"/>
      <c r="G85" s="246"/>
      <c r="H85" s="245"/>
      <c r="I85" s="246"/>
      <c r="J85" s="258" t="s">
        <v>398</v>
      </c>
      <c r="K85" s="60" t="s">
        <v>397</v>
      </c>
      <c r="L85" s="61">
        <v>0.7</v>
      </c>
      <c r="M85" s="55"/>
      <c r="N85" s="56"/>
      <c r="O85" s="57"/>
      <c r="P85" s="47"/>
      <c r="Q85" s="176"/>
      <c r="R85" s="63"/>
      <c r="S85" s="47"/>
      <c r="T85" s="176"/>
      <c r="U85" s="63"/>
      <c r="V85" s="47"/>
      <c r="W85" s="175"/>
      <c r="X85" s="58">
        <f>ROUND((_11_A通院１２．０*_11・基礎１),0)+ROUND((ROUND((_11_B通院１２．０＿０．５*_11・基礎１),0)*(1+_11・B夜間)),0)+ROUND((ROUND((_11_C通院１２．０＿０．５＿０．５*_11・基礎１),0)*(1+_11・C深夜)),0)</f>
        <v>630</v>
      </c>
      <c r="Y85" s="59"/>
    </row>
    <row r="86" spans="1:25" ht="16.5" customHeight="1" x14ac:dyDescent="0.2">
      <c r="A86" s="44">
        <v>16</v>
      </c>
      <c r="B86" s="53">
        <v>3822</v>
      </c>
      <c r="C86" s="69" t="s">
        <v>1243</v>
      </c>
      <c r="D86" s="110">
        <f>_11_A通院１２．０</f>
        <v>669</v>
      </c>
      <c r="E86" s="49" t="s">
        <v>394</v>
      </c>
      <c r="F86" s="110">
        <f>_11_B通院１２．０＿０．５</f>
        <v>85</v>
      </c>
      <c r="G86" s="49" t="s">
        <v>394</v>
      </c>
      <c r="H86" s="110">
        <f>_11_C通院１２．０＿０．５＿０．５</f>
        <v>83</v>
      </c>
      <c r="I86" s="49" t="s">
        <v>394</v>
      </c>
      <c r="J86" s="257"/>
      <c r="K86" s="49"/>
      <c r="L86" s="50"/>
      <c r="M86" s="55" t="s">
        <v>396</v>
      </c>
      <c r="N86" s="56" t="s">
        <v>397</v>
      </c>
      <c r="O86" s="57">
        <v>1</v>
      </c>
      <c r="P86" s="54"/>
      <c r="Q86" s="50"/>
      <c r="R86" s="97"/>
      <c r="S86" s="54"/>
      <c r="T86" s="50"/>
      <c r="U86" s="97"/>
      <c r="V86" s="54"/>
      <c r="W86" s="49"/>
      <c r="X86" s="58">
        <f>ROUND((ROUND((_11_A通院１２．０*_11・基礎１),0)*_11・２人),0)+ROUND((ROUND((ROUND((_11_B通院１２．０＿０．５*_11・基礎１),0)*_11・２人),0)*(1+_11・B夜間)),0)+ROUND((ROUND((ROUND((_11_C通院１２．０＿０．５＿０．５*_11・基礎１),0)*_11・２人),0)*(1+_11・C深夜)),0)</f>
        <v>630</v>
      </c>
      <c r="Y86" s="111"/>
    </row>
    <row r="87" spans="1:25" ht="16.5" customHeight="1" x14ac:dyDescent="0.2"/>
  </sheetData>
  <mergeCells count="63">
    <mergeCell ref="R8:R9"/>
    <mergeCell ref="U8:U9"/>
    <mergeCell ref="J9:J10"/>
    <mergeCell ref="F11:G13"/>
    <mergeCell ref="H11:I13"/>
    <mergeCell ref="J13:J14"/>
    <mergeCell ref="D7:E9"/>
    <mergeCell ref="F7:G9"/>
    <mergeCell ref="H7:I9"/>
    <mergeCell ref="H15:I17"/>
    <mergeCell ref="J17:J18"/>
    <mergeCell ref="D19:E21"/>
    <mergeCell ref="F19:G21"/>
    <mergeCell ref="H19:I21"/>
    <mergeCell ref="J21:J22"/>
    <mergeCell ref="H27:I29"/>
    <mergeCell ref="J29:J30"/>
    <mergeCell ref="D23:E25"/>
    <mergeCell ref="F23:G25"/>
    <mergeCell ref="H23:I25"/>
    <mergeCell ref="J25:J26"/>
    <mergeCell ref="H31:I33"/>
    <mergeCell ref="J33:J34"/>
    <mergeCell ref="D35:E37"/>
    <mergeCell ref="F35:G37"/>
    <mergeCell ref="H35:I37"/>
    <mergeCell ref="J37:J38"/>
    <mergeCell ref="D43:E45"/>
    <mergeCell ref="F43:G45"/>
    <mergeCell ref="H43:I45"/>
    <mergeCell ref="J45:J46"/>
    <mergeCell ref="H39:I41"/>
    <mergeCell ref="J41:J42"/>
    <mergeCell ref="D47:E49"/>
    <mergeCell ref="F47:G49"/>
    <mergeCell ref="H47:I49"/>
    <mergeCell ref="R48:R49"/>
    <mergeCell ref="U48:U49"/>
    <mergeCell ref="J49:J50"/>
    <mergeCell ref="H55:I57"/>
    <mergeCell ref="J57:J58"/>
    <mergeCell ref="H59:I61"/>
    <mergeCell ref="J61:J62"/>
    <mergeCell ref="H51:I53"/>
    <mergeCell ref="J53:J54"/>
    <mergeCell ref="H67:I69"/>
    <mergeCell ref="J69:J70"/>
    <mergeCell ref="D63:E65"/>
    <mergeCell ref="F63:G65"/>
    <mergeCell ref="H63:I65"/>
    <mergeCell ref="J65:J66"/>
    <mergeCell ref="H71:I73"/>
    <mergeCell ref="J73:J74"/>
    <mergeCell ref="D75:E77"/>
    <mergeCell ref="F75:G77"/>
    <mergeCell ref="H75:I77"/>
    <mergeCell ref="J77:J78"/>
    <mergeCell ref="D83:E85"/>
    <mergeCell ref="F83:G85"/>
    <mergeCell ref="H83:I85"/>
    <mergeCell ref="J85:J86"/>
    <mergeCell ref="H79:I81"/>
    <mergeCell ref="J81:J8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92"/>
  <sheetViews>
    <sheetView workbookViewId="0"/>
  </sheetViews>
  <sheetFormatPr defaultColWidth="8.90625" defaultRowHeight="14" x14ac:dyDescent="0.2"/>
  <cols>
    <col min="1" max="1" width="4.6328125" style="22" customWidth="1"/>
    <col min="2" max="2" width="7.6328125" style="22" customWidth="1"/>
    <col min="3" max="3" width="34.90625" style="23" bestFit="1" customWidth="1"/>
    <col min="4" max="4" width="6" style="23" bestFit="1" customWidth="1"/>
    <col min="5" max="5" width="5.36328125" style="90" bestFit="1" customWidth="1"/>
    <col min="6" max="6" width="11.90625" style="25" customWidth="1"/>
    <col min="7" max="7" width="3.453125" style="25" bestFit="1" customWidth="1"/>
    <col min="8" max="8" width="4.453125" style="26" bestFit="1" customWidth="1"/>
    <col min="9" max="9" width="25.36328125" style="27" bestFit="1" customWidth="1"/>
    <col min="10" max="10" width="3.453125" style="25" bestFit="1" customWidth="1"/>
    <col min="11" max="11" width="5.453125" style="26" bestFit="1" customWidth="1"/>
    <col min="12" max="12" width="7.08984375" style="28" customWidth="1"/>
    <col min="13" max="13" width="8.6328125" style="29" customWidth="1"/>
    <col min="14" max="16384" width="8.90625" style="25"/>
  </cols>
  <sheetData>
    <row r="1" spans="1:13" ht="17.149999999999999" customHeight="1" x14ac:dyDescent="0.2"/>
    <row r="2" spans="1:13" ht="17.149999999999999" customHeight="1" x14ac:dyDescent="0.2"/>
    <row r="3" spans="1:13" ht="17.149999999999999" customHeight="1" x14ac:dyDescent="0.2"/>
    <row r="4" spans="1:13" ht="17.149999999999999" customHeight="1" x14ac:dyDescent="0.2">
      <c r="B4" s="30" t="s">
        <v>1244</v>
      </c>
      <c r="D4" s="65"/>
    </row>
    <row r="5" spans="1:13" ht="16.5" customHeight="1" x14ac:dyDescent="0.2">
      <c r="A5" s="31" t="s">
        <v>386</v>
      </c>
      <c r="B5" s="32"/>
      <c r="C5" s="33" t="s">
        <v>387</v>
      </c>
      <c r="D5" s="34" t="s">
        <v>388</v>
      </c>
      <c r="E5" s="91"/>
      <c r="F5" s="34"/>
      <c r="G5" s="34"/>
      <c r="H5" s="35"/>
      <c r="I5" s="34"/>
      <c r="J5" s="34"/>
      <c r="K5" s="35"/>
      <c r="L5" s="36" t="s">
        <v>389</v>
      </c>
      <c r="M5" s="33" t="s">
        <v>390</v>
      </c>
    </row>
    <row r="6" spans="1:13" ht="16.5" customHeight="1" x14ac:dyDescent="0.2">
      <c r="A6" s="37" t="s">
        <v>391</v>
      </c>
      <c r="B6" s="37" t="s">
        <v>392</v>
      </c>
      <c r="C6" s="38"/>
      <c r="D6" s="40"/>
      <c r="E6" s="93"/>
      <c r="F6" s="40"/>
      <c r="G6" s="40"/>
      <c r="H6" s="41"/>
      <c r="I6" s="40"/>
      <c r="J6" s="40"/>
      <c r="K6" s="41"/>
      <c r="L6" s="42" t="s">
        <v>393</v>
      </c>
      <c r="M6" s="43" t="s">
        <v>394</v>
      </c>
    </row>
    <row r="7" spans="1:13" ht="16.5" customHeight="1" x14ac:dyDescent="0.2">
      <c r="A7" s="44">
        <v>16</v>
      </c>
      <c r="B7" s="44">
        <v>3827</v>
      </c>
      <c r="C7" s="45" t="s">
        <v>1245</v>
      </c>
      <c r="D7" s="245" t="s">
        <v>1923</v>
      </c>
      <c r="E7" s="246"/>
      <c r="F7" s="47"/>
      <c r="I7" s="48"/>
      <c r="J7" s="49"/>
      <c r="K7" s="50"/>
      <c r="L7" s="51">
        <f>_11_A通院１増０．５</f>
        <v>83</v>
      </c>
      <c r="M7" s="52" t="s">
        <v>395</v>
      </c>
    </row>
    <row r="8" spans="1:13" ht="16.5" customHeight="1" x14ac:dyDescent="0.2">
      <c r="A8" s="44">
        <v>16</v>
      </c>
      <c r="B8" s="53">
        <v>3828</v>
      </c>
      <c r="C8" s="69" t="s">
        <v>1246</v>
      </c>
      <c r="D8" s="245"/>
      <c r="E8" s="246"/>
      <c r="F8" s="54"/>
      <c r="G8" s="49"/>
      <c r="H8" s="50"/>
      <c r="I8" s="55" t="s">
        <v>396</v>
      </c>
      <c r="J8" s="56" t="s">
        <v>397</v>
      </c>
      <c r="K8" s="57">
        <v>1</v>
      </c>
      <c r="L8" s="58">
        <f>ROUND((_11_A通院１増０．５*_11・２人),0)</f>
        <v>83</v>
      </c>
      <c r="M8" s="59"/>
    </row>
    <row r="9" spans="1:13" ht="16.5" customHeight="1" x14ac:dyDescent="0.2">
      <c r="A9" s="44">
        <v>16</v>
      </c>
      <c r="B9" s="53">
        <v>3829</v>
      </c>
      <c r="C9" s="69" t="s">
        <v>1247</v>
      </c>
      <c r="D9" s="245"/>
      <c r="E9" s="246"/>
      <c r="F9" s="241" t="s">
        <v>398</v>
      </c>
      <c r="G9" s="60" t="s">
        <v>397</v>
      </c>
      <c r="H9" s="61">
        <v>0.7</v>
      </c>
      <c r="I9" s="55"/>
      <c r="J9" s="56"/>
      <c r="K9" s="57"/>
      <c r="L9" s="58">
        <f>ROUND((_11_A通院１増０．５*_11・基礎１),0)</f>
        <v>58</v>
      </c>
      <c r="M9" s="59"/>
    </row>
    <row r="10" spans="1:13" ht="16.5" customHeight="1" x14ac:dyDescent="0.2">
      <c r="A10" s="44">
        <v>16</v>
      </c>
      <c r="B10" s="53">
        <v>3830</v>
      </c>
      <c r="C10" s="69" t="s">
        <v>1248</v>
      </c>
      <c r="D10" s="84">
        <f>_11_A通院１増０．５</f>
        <v>83</v>
      </c>
      <c r="E10" s="25" t="s">
        <v>394</v>
      </c>
      <c r="F10" s="257"/>
      <c r="G10" s="49"/>
      <c r="H10" s="50"/>
      <c r="I10" s="55" t="s">
        <v>396</v>
      </c>
      <c r="J10" s="56" t="s">
        <v>397</v>
      </c>
      <c r="K10" s="57">
        <v>1</v>
      </c>
      <c r="L10" s="58">
        <f>ROUND((ROUND((_11_A通院１増０．５*_11・基礎１),0)*_11・２人),0)</f>
        <v>58</v>
      </c>
      <c r="M10" s="59"/>
    </row>
    <row r="11" spans="1:13" ht="16.5" customHeight="1" x14ac:dyDescent="0.2">
      <c r="A11" s="44">
        <v>16</v>
      </c>
      <c r="B11" s="53">
        <v>3831</v>
      </c>
      <c r="C11" s="69" t="s">
        <v>1249</v>
      </c>
      <c r="D11" s="243" t="s">
        <v>1922</v>
      </c>
      <c r="E11" s="244"/>
      <c r="F11" s="62"/>
      <c r="G11" s="60"/>
      <c r="H11" s="61"/>
      <c r="I11" s="55"/>
      <c r="J11" s="56"/>
      <c r="K11" s="57"/>
      <c r="L11" s="58">
        <f>_11_A通院１増１．０</f>
        <v>166</v>
      </c>
      <c r="M11" s="59"/>
    </row>
    <row r="12" spans="1:13" ht="16.5" customHeight="1" x14ac:dyDescent="0.2">
      <c r="A12" s="44">
        <v>16</v>
      </c>
      <c r="B12" s="53">
        <v>3832</v>
      </c>
      <c r="C12" s="69" t="s">
        <v>1250</v>
      </c>
      <c r="D12" s="245"/>
      <c r="E12" s="246"/>
      <c r="F12" s="54"/>
      <c r="G12" s="49"/>
      <c r="H12" s="50"/>
      <c r="I12" s="55" t="s">
        <v>396</v>
      </c>
      <c r="J12" s="56" t="s">
        <v>397</v>
      </c>
      <c r="K12" s="57">
        <v>1</v>
      </c>
      <c r="L12" s="58">
        <f>ROUND((_11_A通院１増１．０*_11・２人),0)</f>
        <v>166</v>
      </c>
      <c r="M12" s="59"/>
    </row>
    <row r="13" spans="1:13" ht="16.5" customHeight="1" x14ac:dyDescent="0.2">
      <c r="A13" s="44">
        <v>16</v>
      </c>
      <c r="B13" s="53">
        <v>3833</v>
      </c>
      <c r="C13" s="69" t="s">
        <v>1251</v>
      </c>
      <c r="D13" s="245"/>
      <c r="E13" s="246"/>
      <c r="F13" s="241" t="s">
        <v>398</v>
      </c>
      <c r="G13" s="60" t="s">
        <v>397</v>
      </c>
      <c r="H13" s="61">
        <v>0.7</v>
      </c>
      <c r="I13" s="55"/>
      <c r="J13" s="56"/>
      <c r="K13" s="57"/>
      <c r="L13" s="58">
        <f>ROUND((_11_A通院１増１．０*_11・基礎１),0)</f>
        <v>116</v>
      </c>
      <c r="M13" s="59"/>
    </row>
    <row r="14" spans="1:13" ht="16.5" customHeight="1" x14ac:dyDescent="0.2">
      <c r="A14" s="44">
        <v>16</v>
      </c>
      <c r="B14" s="53">
        <v>3834</v>
      </c>
      <c r="C14" s="69" t="s">
        <v>1252</v>
      </c>
      <c r="D14" s="84">
        <f>_11_A通院１増１．０</f>
        <v>166</v>
      </c>
      <c r="E14" s="25" t="s">
        <v>394</v>
      </c>
      <c r="F14" s="245"/>
      <c r="G14" s="49"/>
      <c r="H14" s="50"/>
      <c r="I14" s="55" t="s">
        <v>396</v>
      </c>
      <c r="J14" s="56" t="s">
        <v>397</v>
      </c>
      <c r="K14" s="57">
        <v>1</v>
      </c>
      <c r="L14" s="58">
        <f>ROUND((ROUND((_11_A通院１増１．０*_11・基礎１),0)*_11・２人),0)</f>
        <v>116</v>
      </c>
      <c r="M14" s="59"/>
    </row>
    <row r="15" spans="1:13" ht="16.5" customHeight="1" x14ac:dyDescent="0.2">
      <c r="A15" s="44">
        <v>16</v>
      </c>
      <c r="B15" s="53">
        <v>3835</v>
      </c>
      <c r="C15" s="69" t="s">
        <v>1253</v>
      </c>
      <c r="D15" s="243" t="s">
        <v>1924</v>
      </c>
      <c r="E15" s="244"/>
      <c r="F15" s="62"/>
      <c r="G15" s="60"/>
      <c r="H15" s="61"/>
      <c r="I15" s="55"/>
      <c r="J15" s="56"/>
      <c r="K15" s="57"/>
      <c r="L15" s="58">
        <f>_11_A通院１増１．５</f>
        <v>249</v>
      </c>
      <c r="M15" s="59"/>
    </row>
    <row r="16" spans="1:13" ht="16.5" customHeight="1" x14ac:dyDescent="0.2">
      <c r="A16" s="44">
        <v>16</v>
      </c>
      <c r="B16" s="53">
        <v>3836</v>
      </c>
      <c r="C16" s="69" t="s">
        <v>1254</v>
      </c>
      <c r="D16" s="245"/>
      <c r="E16" s="246"/>
      <c r="F16" s="54"/>
      <c r="G16" s="49"/>
      <c r="H16" s="50"/>
      <c r="I16" s="55" t="s">
        <v>396</v>
      </c>
      <c r="J16" s="56" t="s">
        <v>397</v>
      </c>
      <c r="K16" s="57">
        <v>1</v>
      </c>
      <c r="L16" s="58">
        <f>ROUND((_11_A通院１増１．５*_11・２人),0)</f>
        <v>249</v>
      </c>
      <c r="M16" s="59"/>
    </row>
    <row r="17" spans="1:13" ht="16.5" customHeight="1" x14ac:dyDescent="0.2">
      <c r="A17" s="44">
        <v>16</v>
      </c>
      <c r="B17" s="53">
        <v>3837</v>
      </c>
      <c r="C17" s="69" t="s">
        <v>1255</v>
      </c>
      <c r="D17" s="245"/>
      <c r="E17" s="246"/>
      <c r="F17" s="241" t="s">
        <v>398</v>
      </c>
      <c r="G17" s="60" t="s">
        <v>397</v>
      </c>
      <c r="H17" s="61">
        <v>0.7</v>
      </c>
      <c r="I17" s="55"/>
      <c r="J17" s="56"/>
      <c r="K17" s="57"/>
      <c r="L17" s="58">
        <f>ROUND((_11_A通院１増１．５*_11・基礎１),0)</f>
        <v>174</v>
      </c>
      <c r="M17" s="59"/>
    </row>
    <row r="18" spans="1:13" ht="16.5" customHeight="1" x14ac:dyDescent="0.2">
      <c r="A18" s="44">
        <v>16</v>
      </c>
      <c r="B18" s="53">
        <v>3838</v>
      </c>
      <c r="C18" s="69" t="s">
        <v>1256</v>
      </c>
      <c r="D18" s="84">
        <f>_11_A通院１増１．５</f>
        <v>249</v>
      </c>
      <c r="E18" s="25" t="s">
        <v>394</v>
      </c>
      <c r="F18" s="257"/>
      <c r="G18" s="49"/>
      <c r="H18" s="50"/>
      <c r="I18" s="55" t="s">
        <v>396</v>
      </c>
      <c r="J18" s="56" t="s">
        <v>397</v>
      </c>
      <c r="K18" s="57">
        <v>1</v>
      </c>
      <c r="L18" s="58">
        <f>ROUND((ROUND((_11_A通院１増１．５*_11・基礎１),0)*_11・２人),0)</f>
        <v>174</v>
      </c>
      <c r="M18" s="59"/>
    </row>
    <row r="19" spans="1:13" ht="16.5" customHeight="1" x14ac:dyDescent="0.2">
      <c r="A19" s="44">
        <v>16</v>
      </c>
      <c r="B19" s="53">
        <v>3839</v>
      </c>
      <c r="C19" s="69" t="s">
        <v>1257</v>
      </c>
      <c r="D19" s="243" t="s">
        <v>1925</v>
      </c>
      <c r="E19" s="244"/>
      <c r="F19" s="62"/>
      <c r="G19" s="60"/>
      <c r="H19" s="61"/>
      <c r="I19" s="55"/>
      <c r="J19" s="56"/>
      <c r="K19" s="57"/>
      <c r="L19" s="58">
        <f>_11_A通院１増２．０</f>
        <v>332</v>
      </c>
      <c r="M19" s="59"/>
    </row>
    <row r="20" spans="1:13" ht="16.5" customHeight="1" x14ac:dyDescent="0.2">
      <c r="A20" s="44">
        <v>16</v>
      </c>
      <c r="B20" s="53">
        <v>3840</v>
      </c>
      <c r="C20" s="69" t="s">
        <v>1258</v>
      </c>
      <c r="D20" s="245"/>
      <c r="E20" s="246"/>
      <c r="F20" s="54"/>
      <c r="G20" s="49"/>
      <c r="H20" s="50"/>
      <c r="I20" s="55" t="s">
        <v>396</v>
      </c>
      <c r="J20" s="56" t="s">
        <v>397</v>
      </c>
      <c r="K20" s="57">
        <v>1</v>
      </c>
      <c r="L20" s="58">
        <f>ROUND((_11_A通院１増２．０*_11・２人),0)</f>
        <v>332</v>
      </c>
      <c r="M20" s="59"/>
    </row>
    <row r="21" spans="1:13" ht="16.5" customHeight="1" x14ac:dyDescent="0.2">
      <c r="A21" s="44">
        <v>16</v>
      </c>
      <c r="B21" s="53">
        <v>3841</v>
      </c>
      <c r="C21" s="69" t="s">
        <v>1259</v>
      </c>
      <c r="D21" s="245"/>
      <c r="E21" s="246"/>
      <c r="F21" s="241" t="s">
        <v>398</v>
      </c>
      <c r="G21" s="60" t="s">
        <v>397</v>
      </c>
      <c r="H21" s="61">
        <v>0.7</v>
      </c>
      <c r="I21" s="55"/>
      <c r="J21" s="56"/>
      <c r="K21" s="57"/>
      <c r="L21" s="58">
        <f>ROUND((_11_A通院１増２．０*_11・基礎１),0)</f>
        <v>232</v>
      </c>
      <c r="M21" s="59"/>
    </row>
    <row r="22" spans="1:13" ht="16.5" customHeight="1" x14ac:dyDescent="0.2">
      <c r="A22" s="44">
        <v>16</v>
      </c>
      <c r="B22" s="53">
        <v>3842</v>
      </c>
      <c r="C22" s="69" t="s">
        <v>1260</v>
      </c>
      <c r="D22" s="84">
        <f>_11_A通院１増２．０</f>
        <v>332</v>
      </c>
      <c r="E22" s="25" t="s">
        <v>394</v>
      </c>
      <c r="F22" s="257"/>
      <c r="G22" s="49"/>
      <c r="H22" s="50"/>
      <c r="I22" s="55" t="s">
        <v>396</v>
      </c>
      <c r="J22" s="56" t="s">
        <v>397</v>
      </c>
      <c r="K22" s="57">
        <v>1</v>
      </c>
      <c r="L22" s="58">
        <f>ROUND((ROUND((_11_A通院１増２．０*_11・基礎１),0)*_11・２人),0)</f>
        <v>232</v>
      </c>
      <c r="M22" s="59"/>
    </row>
    <row r="23" spans="1:13" ht="16.5" customHeight="1" x14ac:dyDescent="0.2">
      <c r="A23" s="44">
        <v>16</v>
      </c>
      <c r="B23" s="53">
        <v>3843</v>
      </c>
      <c r="C23" s="69" t="s">
        <v>1261</v>
      </c>
      <c r="D23" s="243" t="s">
        <v>1926</v>
      </c>
      <c r="E23" s="244"/>
      <c r="F23" s="62"/>
      <c r="G23" s="60"/>
      <c r="H23" s="61"/>
      <c r="I23" s="55"/>
      <c r="J23" s="56"/>
      <c r="K23" s="57"/>
      <c r="L23" s="58">
        <f>_11_A通院１増２．５</f>
        <v>415</v>
      </c>
      <c r="M23" s="59"/>
    </row>
    <row r="24" spans="1:13" ht="16.5" customHeight="1" x14ac:dyDescent="0.2">
      <c r="A24" s="44">
        <v>16</v>
      </c>
      <c r="B24" s="53">
        <v>3844</v>
      </c>
      <c r="C24" s="69" t="s">
        <v>1262</v>
      </c>
      <c r="D24" s="245"/>
      <c r="E24" s="246"/>
      <c r="F24" s="54"/>
      <c r="G24" s="49"/>
      <c r="H24" s="50"/>
      <c r="I24" s="55" t="s">
        <v>396</v>
      </c>
      <c r="J24" s="56" t="s">
        <v>397</v>
      </c>
      <c r="K24" s="57">
        <v>1</v>
      </c>
      <c r="L24" s="58">
        <f>ROUND((_11_A通院１増２．５*_11・２人),0)</f>
        <v>415</v>
      </c>
      <c r="M24" s="59"/>
    </row>
    <row r="25" spans="1:13" ht="16.5" customHeight="1" x14ac:dyDescent="0.2">
      <c r="A25" s="44">
        <v>16</v>
      </c>
      <c r="B25" s="53">
        <v>3845</v>
      </c>
      <c r="C25" s="69" t="s">
        <v>1263</v>
      </c>
      <c r="D25" s="245"/>
      <c r="E25" s="246"/>
      <c r="F25" s="241" t="s">
        <v>398</v>
      </c>
      <c r="G25" s="60" t="s">
        <v>397</v>
      </c>
      <c r="H25" s="61">
        <v>0.7</v>
      </c>
      <c r="I25" s="55"/>
      <c r="J25" s="56"/>
      <c r="K25" s="57"/>
      <c r="L25" s="58">
        <f>ROUND((_11_A通院１増２．５*_11・基礎１),0)</f>
        <v>291</v>
      </c>
      <c r="M25" s="59"/>
    </row>
    <row r="26" spans="1:13" ht="16.5" customHeight="1" x14ac:dyDescent="0.2">
      <c r="A26" s="44">
        <v>16</v>
      </c>
      <c r="B26" s="53">
        <v>3846</v>
      </c>
      <c r="C26" s="69" t="s">
        <v>1264</v>
      </c>
      <c r="D26" s="84">
        <f>_11_A通院１増２．５</f>
        <v>415</v>
      </c>
      <c r="E26" s="25" t="s">
        <v>394</v>
      </c>
      <c r="F26" s="257"/>
      <c r="G26" s="49"/>
      <c r="H26" s="50"/>
      <c r="I26" s="55" t="s">
        <v>396</v>
      </c>
      <c r="J26" s="56" t="s">
        <v>397</v>
      </c>
      <c r="K26" s="57">
        <v>1</v>
      </c>
      <c r="L26" s="58">
        <f>ROUND((ROUND((_11_A通院１増２．５*_11・基礎１),0)*_11・２人),0)</f>
        <v>291</v>
      </c>
      <c r="M26" s="59"/>
    </row>
    <row r="27" spans="1:13" ht="16.5" customHeight="1" x14ac:dyDescent="0.2">
      <c r="A27" s="44">
        <v>16</v>
      </c>
      <c r="B27" s="53">
        <v>3847</v>
      </c>
      <c r="C27" s="69" t="s">
        <v>1265</v>
      </c>
      <c r="D27" s="243" t="s">
        <v>1927</v>
      </c>
      <c r="E27" s="244"/>
      <c r="F27" s="62"/>
      <c r="G27" s="60"/>
      <c r="H27" s="61"/>
      <c r="I27" s="55"/>
      <c r="J27" s="56"/>
      <c r="K27" s="57"/>
      <c r="L27" s="58">
        <f>_11_A通院１増３．０</f>
        <v>498</v>
      </c>
      <c r="M27" s="59"/>
    </row>
    <row r="28" spans="1:13" ht="16.5" customHeight="1" x14ac:dyDescent="0.2">
      <c r="A28" s="44">
        <v>16</v>
      </c>
      <c r="B28" s="53">
        <v>3848</v>
      </c>
      <c r="C28" s="69" t="s">
        <v>1266</v>
      </c>
      <c r="D28" s="245"/>
      <c r="E28" s="246"/>
      <c r="F28" s="54"/>
      <c r="G28" s="49"/>
      <c r="H28" s="50"/>
      <c r="I28" s="55" t="s">
        <v>396</v>
      </c>
      <c r="J28" s="56" t="s">
        <v>397</v>
      </c>
      <c r="K28" s="57">
        <v>1</v>
      </c>
      <c r="L28" s="58">
        <f>ROUND((_11_A通院１増３．０*_11・２人),0)</f>
        <v>498</v>
      </c>
      <c r="M28" s="59"/>
    </row>
    <row r="29" spans="1:13" ht="16.5" customHeight="1" x14ac:dyDescent="0.2">
      <c r="A29" s="44">
        <v>16</v>
      </c>
      <c r="B29" s="53">
        <v>3849</v>
      </c>
      <c r="C29" s="69" t="s">
        <v>1267</v>
      </c>
      <c r="D29" s="245"/>
      <c r="E29" s="246"/>
      <c r="F29" s="241" t="s">
        <v>398</v>
      </c>
      <c r="G29" s="60" t="s">
        <v>397</v>
      </c>
      <c r="H29" s="61">
        <v>0.7</v>
      </c>
      <c r="I29" s="55"/>
      <c r="J29" s="56"/>
      <c r="K29" s="57"/>
      <c r="L29" s="58">
        <f>ROUND((_11_A通院１増３．０*_11・基礎１),0)</f>
        <v>349</v>
      </c>
      <c r="M29" s="59"/>
    </row>
    <row r="30" spans="1:13" ht="16.5" customHeight="1" x14ac:dyDescent="0.2">
      <c r="A30" s="44">
        <v>16</v>
      </c>
      <c r="B30" s="53">
        <v>3850</v>
      </c>
      <c r="C30" s="69" t="s">
        <v>1268</v>
      </c>
      <c r="D30" s="84">
        <f>_11_A通院１増３．０</f>
        <v>498</v>
      </c>
      <c r="E30" s="25" t="s">
        <v>394</v>
      </c>
      <c r="F30" s="257"/>
      <c r="G30" s="49"/>
      <c r="H30" s="50"/>
      <c r="I30" s="55" t="s">
        <v>396</v>
      </c>
      <c r="J30" s="56" t="s">
        <v>397</v>
      </c>
      <c r="K30" s="57">
        <v>1</v>
      </c>
      <c r="L30" s="58">
        <f>ROUND((ROUND((_11_A通院１増３．０*_11・基礎１),0)*_11・２人),0)</f>
        <v>349</v>
      </c>
      <c r="M30" s="59"/>
    </row>
    <row r="31" spans="1:13" ht="16.5" customHeight="1" x14ac:dyDescent="0.2">
      <c r="A31" s="44">
        <v>16</v>
      </c>
      <c r="B31" s="53">
        <v>3851</v>
      </c>
      <c r="C31" s="69" t="s">
        <v>1269</v>
      </c>
      <c r="D31" s="243" t="s">
        <v>1928</v>
      </c>
      <c r="E31" s="244"/>
      <c r="F31" s="62"/>
      <c r="G31" s="60"/>
      <c r="H31" s="61"/>
      <c r="I31" s="55"/>
      <c r="J31" s="56"/>
      <c r="K31" s="57"/>
      <c r="L31" s="58">
        <f>_11_A通院１増３．５</f>
        <v>581</v>
      </c>
      <c r="M31" s="59"/>
    </row>
    <row r="32" spans="1:13" ht="16.5" customHeight="1" x14ac:dyDescent="0.2">
      <c r="A32" s="44">
        <v>16</v>
      </c>
      <c r="B32" s="53">
        <v>3852</v>
      </c>
      <c r="C32" s="69" t="s">
        <v>1270</v>
      </c>
      <c r="D32" s="245"/>
      <c r="E32" s="246"/>
      <c r="F32" s="54"/>
      <c r="G32" s="49"/>
      <c r="H32" s="50"/>
      <c r="I32" s="55" t="s">
        <v>396</v>
      </c>
      <c r="J32" s="56" t="s">
        <v>397</v>
      </c>
      <c r="K32" s="57">
        <v>1</v>
      </c>
      <c r="L32" s="58">
        <f>ROUND((_11_A通院１増３．５*_11・２人),0)</f>
        <v>581</v>
      </c>
      <c r="M32" s="59"/>
    </row>
    <row r="33" spans="1:13" ht="16.5" customHeight="1" x14ac:dyDescent="0.2">
      <c r="A33" s="44">
        <v>16</v>
      </c>
      <c r="B33" s="53">
        <v>3853</v>
      </c>
      <c r="C33" s="69" t="s">
        <v>1271</v>
      </c>
      <c r="D33" s="245"/>
      <c r="E33" s="246"/>
      <c r="F33" s="241" t="s">
        <v>398</v>
      </c>
      <c r="G33" s="60" t="s">
        <v>397</v>
      </c>
      <c r="H33" s="61">
        <v>0.7</v>
      </c>
      <c r="I33" s="55"/>
      <c r="J33" s="56"/>
      <c r="K33" s="57"/>
      <c r="L33" s="58">
        <f>ROUND((_11_A通院１増３．５*_11・基礎１),0)</f>
        <v>407</v>
      </c>
      <c r="M33" s="59"/>
    </row>
    <row r="34" spans="1:13" ht="16.5" customHeight="1" x14ac:dyDescent="0.2">
      <c r="A34" s="44">
        <v>16</v>
      </c>
      <c r="B34" s="53">
        <v>3854</v>
      </c>
      <c r="C34" s="69" t="s">
        <v>1272</v>
      </c>
      <c r="D34" s="84">
        <f>_11_A通院１増３．５</f>
        <v>581</v>
      </c>
      <c r="E34" s="25" t="s">
        <v>394</v>
      </c>
      <c r="F34" s="257"/>
      <c r="G34" s="49"/>
      <c r="H34" s="50"/>
      <c r="I34" s="55" t="s">
        <v>396</v>
      </c>
      <c r="J34" s="56" t="s">
        <v>397</v>
      </c>
      <c r="K34" s="57">
        <v>1</v>
      </c>
      <c r="L34" s="58">
        <f>ROUND((ROUND((_11_A通院１増３．５*_11・基礎１),0)*_11・２人),0)</f>
        <v>407</v>
      </c>
      <c r="M34" s="59"/>
    </row>
    <row r="35" spans="1:13" ht="16.5" customHeight="1" x14ac:dyDescent="0.2">
      <c r="A35" s="44">
        <v>16</v>
      </c>
      <c r="B35" s="53">
        <v>3855</v>
      </c>
      <c r="C35" s="69" t="s">
        <v>1273</v>
      </c>
      <c r="D35" s="243" t="s">
        <v>1929</v>
      </c>
      <c r="E35" s="244"/>
      <c r="F35" s="62"/>
      <c r="G35" s="60"/>
      <c r="H35" s="61"/>
      <c r="I35" s="55"/>
      <c r="J35" s="56"/>
      <c r="K35" s="57"/>
      <c r="L35" s="58">
        <f>_11_A通院１増４．０</f>
        <v>664</v>
      </c>
      <c r="M35" s="59"/>
    </row>
    <row r="36" spans="1:13" ht="16.5" customHeight="1" x14ac:dyDescent="0.2">
      <c r="A36" s="44">
        <v>16</v>
      </c>
      <c r="B36" s="53">
        <v>3856</v>
      </c>
      <c r="C36" s="69" t="s">
        <v>1274</v>
      </c>
      <c r="D36" s="245"/>
      <c r="E36" s="246"/>
      <c r="F36" s="54"/>
      <c r="G36" s="49"/>
      <c r="H36" s="50"/>
      <c r="I36" s="55" t="s">
        <v>396</v>
      </c>
      <c r="J36" s="56" t="s">
        <v>397</v>
      </c>
      <c r="K36" s="57">
        <v>1</v>
      </c>
      <c r="L36" s="58">
        <f>ROUND((_11_A通院１増４．０*_11・２人),0)</f>
        <v>664</v>
      </c>
      <c r="M36" s="59"/>
    </row>
    <row r="37" spans="1:13" ht="16.5" customHeight="1" x14ac:dyDescent="0.2">
      <c r="A37" s="44">
        <v>16</v>
      </c>
      <c r="B37" s="53">
        <v>3857</v>
      </c>
      <c r="C37" s="69" t="s">
        <v>1275</v>
      </c>
      <c r="D37" s="245"/>
      <c r="E37" s="246"/>
      <c r="F37" s="241" t="s">
        <v>398</v>
      </c>
      <c r="G37" s="60" t="s">
        <v>397</v>
      </c>
      <c r="H37" s="61">
        <v>0.7</v>
      </c>
      <c r="I37" s="55"/>
      <c r="J37" s="56"/>
      <c r="K37" s="57"/>
      <c r="L37" s="58">
        <f>ROUND((_11_A通院１増４．０*_11・基礎１),0)</f>
        <v>465</v>
      </c>
      <c r="M37" s="59"/>
    </row>
    <row r="38" spans="1:13" ht="16.5" customHeight="1" x14ac:dyDescent="0.2">
      <c r="A38" s="44">
        <v>16</v>
      </c>
      <c r="B38" s="53">
        <v>3858</v>
      </c>
      <c r="C38" s="69" t="s">
        <v>1276</v>
      </c>
      <c r="D38" s="84">
        <f>_11_A通院１増４．０</f>
        <v>664</v>
      </c>
      <c r="E38" s="25" t="s">
        <v>394</v>
      </c>
      <c r="F38" s="257"/>
      <c r="G38" s="49"/>
      <c r="H38" s="50"/>
      <c r="I38" s="55" t="s">
        <v>396</v>
      </c>
      <c r="J38" s="56" t="s">
        <v>397</v>
      </c>
      <c r="K38" s="57">
        <v>1</v>
      </c>
      <c r="L38" s="58">
        <f>ROUND((ROUND((_11_A通院１増４．０*_11・基礎１),0)*_11・２人),0)</f>
        <v>465</v>
      </c>
      <c r="M38" s="59"/>
    </row>
    <row r="39" spans="1:13" ht="16.5" customHeight="1" x14ac:dyDescent="0.2">
      <c r="A39" s="44">
        <v>16</v>
      </c>
      <c r="B39" s="53">
        <v>3859</v>
      </c>
      <c r="C39" s="69" t="s">
        <v>1277</v>
      </c>
      <c r="D39" s="243" t="s">
        <v>1930</v>
      </c>
      <c r="E39" s="244"/>
      <c r="F39" s="62"/>
      <c r="G39" s="60"/>
      <c r="H39" s="61"/>
      <c r="I39" s="55"/>
      <c r="J39" s="56"/>
      <c r="K39" s="57"/>
      <c r="L39" s="58">
        <f>_11_A通院１増４．５</f>
        <v>747</v>
      </c>
      <c r="M39" s="59"/>
    </row>
    <row r="40" spans="1:13" ht="16.5" customHeight="1" x14ac:dyDescent="0.2">
      <c r="A40" s="44">
        <v>16</v>
      </c>
      <c r="B40" s="53">
        <v>3860</v>
      </c>
      <c r="C40" s="69" t="s">
        <v>1278</v>
      </c>
      <c r="D40" s="245"/>
      <c r="E40" s="246"/>
      <c r="F40" s="54"/>
      <c r="G40" s="49"/>
      <c r="H40" s="50"/>
      <c r="I40" s="55" t="s">
        <v>396</v>
      </c>
      <c r="J40" s="56" t="s">
        <v>397</v>
      </c>
      <c r="K40" s="57">
        <v>1</v>
      </c>
      <c r="L40" s="58">
        <f>ROUND((_11_A通院１増４．５*_11・２人),0)</f>
        <v>747</v>
      </c>
      <c r="M40" s="59"/>
    </row>
    <row r="41" spans="1:13" ht="16.5" customHeight="1" x14ac:dyDescent="0.2">
      <c r="A41" s="44">
        <v>16</v>
      </c>
      <c r="B41" s="53">
        <v>3861</v>
      </c>
      <c r="C41" s="69" t="s">
        <v>1279</v>
      </c>
      <c r="D41" s="245"/>
      <c r="E41" s="246"/>
      <c r="F41" s="241" t="s">
        <v>398</v>
      </c>
      <c r="G41" s="60" t="s">
        <v>397</v>
      </c>
      <c r="H41" s="61">
        <v>0.7</v>
      </c>
      <c r="I41" s="55"/>
      <c r="J41" s="56"/>
      <c r="K41" s="57"/>
      <c r="L41" s="58">
        <f>ROUND((_11_A通院１増４．５*_11・基礎１),0)</f>
        <v>523</v>
      </c>
      <c r="M41" s="59"/>
    </row>
    <row r="42" spans="1:13" ht="16.5" customHeight="1" x14ac:dyDescent="0.2">
      <c r="A42" s="44">
        <v>16</v>
      </c>
      <c r="B42" s="53">
        <v>3862</v>
      </c>
      <c r="C42" s="69" t="s">
        <v>1280</v>
      </c>
      <c r="D42" s="84">
        <f>_11_A通院１増４．５</f>
        <v>747</v>
      </c>
      <c r="E42" s="25" t="s">
        <v>394</v>
      </c>
      <c r="F42" s="257"/>
      <c r="G42" s="49"/>
      <c r="H42" s="50"/>
      <c r="I42" s="55" t="s">
        <v>396</v>
      </c>
      <c r="J42" s="56" t="s">
        <v>397</v>
      </c>
      <c r="K42" s="57">
        <v>1</v>
      </c>
      <c r="L42" s="58">
        <f>ROUND((ROUND((_11_A通院１増４．５*_11・基礎１),0)*_11・２人),0)</f>
        <v>523</v>
      </c>
      <c r="M42" s="59"/>
    </row>
    <row r="43" spans="1:13" ht="16.5" customHeight="1" x14ac:dyDescent="0.2">
      <c r="A43" s="44">
        <v>16</v>
      </c>
      <c r="B43" s="53">
        <v>3863</v>
      </c>
      <c r="C43" s="69" t="s">
        <v>1281</v>
      </c>
      <c r="D43" s="243" t="s">
        <v>1931</v>
      </c>
      <c r="E43" s="244"/>
      <c r="F43" s="62"/>
      <c r="G43" s="60"/>
      <c r="H43" s="61"/>
      <c r="I43" s="55"/>
      <c r="J43" s="56"/>
      <c r="K43" s="57"/>
      <c r="L43" s="58">
        <f>_11_A通院１増５．０</f>
        <v>830</v>
      </c>
      <c r="M43" s="52"/>
    </row>
    <row r="44" spans="1:13" ht="16.5" customHeight="1" x14ac:dyDescent="0.2">
      <c r="A44" s="44">
        <v>16</v>
      </c>
      <c r="B44" s="53">
        <v>3864</v>
      </c>
      <c r="C44" s="69" t="s">
        <v>1282</v>
      </c>
      <c r="D44" s="245"/>
      <c r="E44" s="246"/>
      <c r="F44" s="54"/>
      <c r="G44" s="49"/>
      <c r="H44" s="50"/>
      <c r="I44" s="55" t="s">
        <v>396</v>
      </c>
      <c r="J44" s="56" t="s">
        <v>397</v>
      </c>
      <c r="K44" s="57">
        <v>1</v>
      </c>
      <c r="L44" s="58">
        <f>ROUND((_11_A通院１増５．０*_11・２人),0)</f>
        <v>830</v>
      </c>
      <c r="M44" s="59"/>
    </row>
    <row r="45" spans="1:13" ht="16.5" customHeight="1" x14ac:dyDescent="0.2">
      <c r="A45" s="44">
        <v>16</v>
      </c>
      <c r="B45" s="53">
        <v>3865</v>
      </c>
      <c r="C45" s="69" t="s">
        <v>1283</v>
      </c>
      <c r="D45" s="245"/>
      <c r="E45" s="246"/>
      <c r="F45" s="241" t="s">
        <v>398</v>
      </c>
      <c r="G45" s="60" t="s">
        <v>397</v>
      </c>
      <c r="H45" s="61">
        <v>0.7</v>
      </c>
      <c r="I45" s="55"/>
      <c r="J45" s="56"/>
      <c r="K45" s="57"/>
      <c r="L45" s="58">
        <f>ROUND((_11_A通院１増５．０*_11・基礎１),0)</f>
        <v>581</v>
      </c>
      <c r="M45" s="59"/>
    </row>
    <row r="46" spans="1:13" ht="16.5" customHeight="1" x14ac:dyDescent="0.2">
      <c r="A46" s="44">
        <v>16</v>
      </c>
      <c r="B46" s="53">
        <v>3866</v>
      </c>
      <c r="C46" s="69" t="s">
        <v>1284</v>
      </c>
      <c r="D46" s="84">
        <f>_11_A通院１増５．０</f>
        <v>830</v>
      </c>
      <c r="E46" s="25" t="s">
        <v>394</v>
      </c>
      <c r="F46" s="257"/>
      <c r="G46" s="49"/>
      <c r="H46" s="50"/>
      <c r="I46" s="55" t="s">
        <v>396</v>
      </c>
      <c r="J46" s="56" t="s">
        <v>397</v>
      </c>
      <c r="K46" s="57">
        <v>1</v>
      </c>
      <c r="L46" s="58">
        <f>ROUND((ROUND((_11_A通院１増５．０*_11・基礎１),0)*_11・２人),0)</f>
        <v>581</v>
      </c>
      <c r="M46" s="59"/>
    </row>
    <row r="47" spans="1:13" ht="16.5" customHeight="1" x14ac:dyDescent="0.2">
      <c r="A47" s="44">
        <v>16</v>
      </c>
      <c r="B47" s="53">
        <v>3867</v>
      </c>
      <c r="C47" s="69" t="s">
        <v>1285</v>
      </c>
      <c r="D47" s="243" t="s">
        <v>1932</v>
      </c>
      <c r="E47" s="244"/>
      <c r="F47" s="62"/>
      <c r="G47" s="60"/>
      <c r="H47" s="61"/>
      <c r="I47" s="55"/>
      <c r="J47" s="56"/>
      <c r="K47" s="57"/>
      <c r="L47" s="58">
        <f>_11_A通院１増５．５</f>
        <v>913</v>
      </c>
      <c r="M47" s="59"/>
    </row>
    <row r="48" spans="1:13" ht="16.5" customHeight="1" x14ac:dyDescent="0.2">
      <c r="A48" s="44">
        <v>16</v>
      </c>
      <c r="B48" s="53">
        <v>3868</v>
      </c>
      <c r="C48" s="69" t="s">
        <v>1286</v>
      </c>
      <c r="D48" s="245"/>
      <c r="E48" s="246"/>
      <c r="F48" s="54"/>
      <c r="G48" s="49"/>
      <c r="H48" s="50"/>
      <c r="I48" s="55" t="s">
        <v>396</v>
      </c>
      <c r="J48" s="56" t="s">
        <v>397</v>
      </c>
      <c r="K48" s="57">
        <v>1</v>
      </c>
      <c r="L48" s="58">
        <f>ROUND((_11_A通院１増５．５*_11・２人),0)</f>
        <v>913</v>
      </c>
      <c r="M48" s="59"/>
    </row>
    <row r="49" spans="1:13" ht="16.5" customHeight="1" x14ac:dyDescent="0.2">
      <c r="A49" s="44">
        <v>16</v>
      </c>
      <c r="B49" s="53">
        <v>3869</v>
      </c>
      <c r="C49" s="69" t="s">
        <v>1287</v>
      </c>
      <c r="D49" s="245"/>
      <c r="E49" s="246"/>
      <c r="F49" s="241" t="s">
        <v>398</v>
      </c>
      <c r="G49" s="60" t="s">
        <v>397</v>
      </c>
      <c r="H49" s="61">
        <v>0.7</v>
      </c>
      <c r="I49" s="55"/>
      <c r="J49" s="56"/>
      <c r="K49" s="57"/>
      <c r="L49" s="58">
        <f>ROUND((_11_A通院１増５．５*_11・基礎１),0)</f>
        <v>639</v>
      </c>
      <c r="M49" s="59"/>
    </row>
    <row r="50" spans="1:13" ht="16.5" customHeight="1" x14ac:dyDescent="0.2">
      <c r="A50" s="44">
        <v>16</v>
      </c>
      <c r="B50" s="53">
        <v>3870</v>
      </c>
      <c r="C50" s="69" t="s">
        <v>1288</v>
      </c>
      <c r="D50" s="84">
        <f>_11_A通院１増５．５</f>
        <v>913</v>
      </c>
      <c r="E50" s="25" t="s">
        <v>394</v>
      </c>
      <c r="F50" s="257"/>
      <c r="G50" s="49"/>
      <c r="H50" s="50"/>
      <c r="I50" s="55" t="s">
        <v>396</v>
      </c>
      <c r="J50" s="56" t="s">
        <v>397</v>
      </c>
      <c r="K50" s="57">
        <v>1</v>
      </c>
      <c r="L50" s="58">
        <f>ROUND((ROUND((_11_A通院１増５．５*_11・基礎１),0)*_11・２人),0)</f>
        <v>639</v>
      </c>
      <c r="M50" s="59"/>
    </row>
    <row r="51" spans="1:13" ht="16.5" customHeight="1" x14ac:dyDescent="0.2">
      <c r="A51" s="44">
        <v>16</v>
      </c>
      <c r="B51" s="53">
        <v>3871</v>
      </c>
      <c r="C51" s="69" t="s">
        <v>1289</v>
      </c>
      <c r="D51" s="243" t="s">
        <v>1933</v>
      </c>
      <c r="E51" s="244"/>
      <c r="F51" s="62"/>
      <c r="G51" s="60"/>
      <c r="H51" s="61"/>
      <c r="I51" s="55"/>
      <c r="J51" s="56"/>
      <c r="K51" s="57"/>
      <c r="L51" s="58">
        <f>_11_A通院１増６．０</f>
        <v>996</v>
      </c>
      <c r="M51" s="59"/>
    </row>
    <row r="52" spans="1:13" ht="16.5" customHeight="1" x14ac:dyDescent="0.2">
      <c r="A52" s="44">
        <v>16</v>
      </c>
      <c r="B52" s="53">
        <v>3872</v>
      </c>
      <c r="C52" s="69" t="s">
        <v>1290</v>
      </c>
      <c r="D52" s="245"/>
      <c r="E52" s="246"/>
      <c r="F52" s="54"/>
      <c r="G52" s="49"/>
      <c r="H52" s="50"/>
      <c r="I52" s="55" t="s">
        <v>396</v>
      </c>
      <c r="J52" s="56" t="s">
        <v>397</v>
      </c>
      <c r="K52" s="57">
        <v>1</v>
      </c>
      <c r="L52" s="58">
        <f>ROUND((_11_A通院１増６．０*_11・２人),0)</f>
        <v>996</v>
      </c>
      <c r="M52" s="59"/>
    </row>
    <row r="53" spans="1:13" ht="16.5" customHeight="1" x14ac:dyDescent="0.2">
      <c r="A53" s="44">
        <v>16</v>
      </c>
      <c r="B53" s="53">
        <v>3873</v>
      </c>
      <c r="C53" s="69" t="s">
        <v>1291</v>
      </c>
      <c r="D53" s="245"/>
      <c r="E53" s="246"/>
      <c r="F53" s="241" t="s">
        <v>398</v>
      </c>
      <c r="G53" s="60" t="s">
        <v>397</v>
      </c>
      <c r="H53" s="61">
        <v>0.7</v>
      </c>
      <c r="I53" s="55"/>
      <c r="J53" s="56"/>
      <c r="K53" s="57"/>
      <c r="L53" s="58">
        <f>ROUND((_11_A通院１増６．０*_11・基礎１),0)</f>
        <v>697</v>
      </c>
      <c r="M53" s="59"/>
    </row>
    <row r="54" spans="1:13" ht="16.5" customHeight="1" x14ac:dyDescent="0.2">
      <c r="A54" s="44">
        <v>16</v>
      </c>
      <c r="B54" s="53">
        <v>3874</v>
      </c>
      <c r="C54" s="69" t="s">
        <v>1292</v>
      </c>
      <c r="D54" s="84">
        <f>_11_A通院１増６．０</f>
        <v>996</v>
      </c>
      <c r="E54" s="25" t="s">
        <v>394</v>
      </c>
      <c r="F54" s="257"/>
      <c r="G54" s="49"/>
      <c r="H54" s="50"/>
      <c r="I54" s="55" t="s">
        <v>396</v>
      </c>
      <c r="J54" s="56" t="s">
        <v>397</v>
      </c>
      <c r="K54" s="57">
        <v>1</v>
      </c>
      <c r="L54" s="58">
        <f>ROUND((ROUND((_11_A通院１増６．０*_11・基礎１),0)*_11・２人),0)</f>
        <v>697</v>
      </c>
      <c r="M54" s="59"/>
    </row>
    <row r="55" spans="1:13" ht="16.5" customHeight="1" x14ac:dyDescent="0.2">
      <c r="A55" s="44">
        <v>16</v>
      </c>
      <c r="B55" s="53">
        <v>3875</v>
      </c>
      <c r="C55" s="69" t="s">
        <v>1293</v>
      </c>
      <c r="D55" s="243" t="s">
        <v>1934</v>
      </c>
      <c r="E55" s="244"/>
      <c r="F55" s="62"/>
      <c r="G55" s="60"/>
      <c r="H55" s="61"/>
      <c r="I55" s="55"/>
      <c r="J55" s="56"/>
      <c r="K55" s="57"/>
      <c r="L55" s="58">
        <f>_11_A通院１増６．５</f>
        <v>1079</v>
      </c>
      <c r="M55" s="59"/>
    </row>
    <row r="56" spans="1:13" ht="16.5" customHeight="1" x14ac:dyDescent="0.2">
      <c r="A56" s="44">
        <v>16</v>
      </c>
      <c r="B56" s="53">
        <v>3876</v>
      </c>
      <c r="C56" s="69" t="s">
        <v>1294</v>
      </c>
      <c r="D56" s="245"/>
      <c r="E56" s="246"/>
      <c r="F56" s="54"/>
      <c r="G56" s="49"/>
      <c r="H56" s="50"/>
      <c r="I56" s="55" t="s">
        <v>396</v>
      </c>
      <c r="J56" s="56" t="s">
        <v>397</v>
      </c>
      <c r="K56" s="57">
        <v>1</v>
      </c>
      <c r="L56" s="58">
        <f>ROUND((_11_A通院１増６．５*_11・２人),0)</f>
        <v>1079</v>
      </c>
      <c r="M56" s="59"/>
    </row>
    <row r="57" spans="1:13" ht="16.5" customHeight="1" x14ac:dyDescent="0.2">
      <c r="A57" s="44">
        <v>16</v>
      </c>
      <c r="B57" s="53">
        <v>3877</v>
      </c>
      <c r="C57" s="69" t="s">
        <v>1295</v>
      </c>
      <c r="D57" s="245"/>
      <c r="E57" s="246"/>
      <c r="F57" s="241" t="s">
        <v>398</v>
      </c>
      <c r="G57" s="60" t="s">
        <v>397</v>
      </c>
      <c r="H57" s="61">
        <v>0.7</v>
      </c>
      <c r="I57" s="55"/>
      <c r="J57" s="56"/>
      <c r="K57" s="57"/>
      <c r="L57" s="58">
        <f>ROUND((_11_A通院１増６．５*_11・基礎１),0)</f>
        <v>755</v>
      </c>
      <c r="M57" s="59"/>
    </row>
    <row r="58" spans="1:13" ht="16.5" customHeight="1" x14ac:dyDescent="0.2">
      <c r="A58" s="44">
        <v>16</v>
      </c>
      <c r="B58" s="53">
        <v>3878</v>
      </c>
      <c r="C58" s="69" t="s">
        <v>1296</v>
      </c>
      <c r="D58" s="84">
        <f>_11_A通院１増６．５</f>
        <v>1079</v>
      </c>
      <c r="E58" s="25" t="s">
        <v>394</v>
      </c>
      <c r="F58" s="257"/>
      <c r="G58" s="49"/>
      <c r="H58" s="50"/>
      <c r="I58" s="55" t="s">
        <v>396</v>
      </c>
      <c r="J58" s="56" t="s">
        <v>397</v>
      </c>
      <c r="K58" s="57">
        <v>1</v>
      </c>
      <c r="L58" s="58">
        <f>ROUND((ROUND((_11_A通院１増６．５*_11・基礎１),0)*_11・２人),0)</f>
        <v>755</v>
      </c>
      <c r="M58" s="59"/>
    </row>
    <row r="59" spans="1:13" ht="16.5" customHeight="1" x14ac:dyDescent="0.2">
      <c r="A59" s="44">
        <v>16</v>
      </c>
      <c r="B59" s="53">
        <v>3879</v>
      </c>
      <c r="C59" s="69" t="s">
        <v>1297</v>
      </c>
      <c r="D59" s="243" t="s">
        <v>1935</v>
      </c>
      <c r="E59" s="244"/>
      <c r="F59" s="62"/>
      <c r="G59" s="60"/>
      <c r="H59" s="61"/>
      <c r="I59" s="55"/>
      <c r="J59" s="56"/>
      <c r="K59" s="57"/>
      <c r="L59" s="58">
        <f>_11_A通院１増７．０</f>
        <v>1162</v>
      </c>
      <c r="M59" s="59"/>
    </row>
    <row r="60" spans="1:13" ht="16.5" customHeight="1" x14ac:dyDescent="0.2">
      <c r="A60" s="44">
        <v>16</v>
      </c>
      <c r="B60" s="53">
        <v>3880</v>
      </c>
      <c r="C60" s="69" t="s">
        <v>1298</v>
      </c>
      <c r="D60" s="245"/>
      <c r="E60" s="246"/>
      <c r="F60" s="54"/>
      <c r="G60" s="49"/>
      <c r="H60" s="50"/>
      <c r="I60" s="55" t="s">
        <v>396</v>
      </c>
      <c r="J60" s="56" t="s">
        <v>397</v>
      </c>
      <c r="K60" s="57">
        <v>1</v>
      </c>
      <c r="L60" s="58">
        <f>ROUND((_11_A通院１増７．０*_11・２人),0)</f>
        <v>1162</v>
      </c>
      <c r="M60" s="59"/>
    </row>
    <row r="61" spans="1:13" ht="16.5" customHeight="1" x14ac:dyDescent="0.2">
      <c r="A61" s="44">
        <v>16</v>
      </c>
      <c r="B61" s="53">
        <v>3881</v>
      </c>
      <c r="C61" s="69" t="s">
        <v>1299</v>
      </c>
      <c r="D61" s="245"/>
      <c r="E61" s="246"/>
      <c r="F61" s="241" t="s">
        <v>398</v>
      </c>
      <c r="G61" s="60" t="s">
        <v>397</v>
      </c>
      <c r="H61" s="61">
        <v>0.7</v>
      </c>
      <c r="I61" s="55"/>
      <c r="J61" s="56"/>
      <c r="K61" s="57"/>
      <c r="L61" s="58">
        <f>ROUND((_11_A通院１増７．０*_11・基礎１),0)</f>
        <v>813</v>
      </c>
      <c r="M61" s="59"/>
    </row>
    <row r="62" spans="1:13" ht="16.5" customHeight="1" x14ac:dyDescent="0.2">
      <c r="A62" s="44">
        <v>16</v>
      </c>
      <c r="B62" s="53">
        <v>3882</v>
      </c>
      <c r="C62" s="69" t="s">
        <v>1300</v>
      </c>
      <c r="D62" s="84">
        <f>_11_A通院１増７．０</f>
        <v>1162</v>
      </c>
      <c r="E62" s="25" t="s">
        <v>394</v>
      </c>
      <c r="F62" s="257"/>
      <c r="G62" s="49"/>
      <c r="H62" s="50"/>
      <c r="I62" s="55" t="s">
        <v>396</v>
      </c>
      <c r="J62" s="56" t="s">
        <v>397</v>
      </c>
      <c r="K62" s="57">
        <v>1</v>
      </c>
      <c r="L62" s="58">
        <f>ROUND((ROUND((_11_A通院１増７．０*_11・基礎１),0)*_11・２人),0)</f>
        <v>813</v>
      </c>
      <c r="M62" s="59"/>
    </row>
    <row r="63" spans="1:13" ht="16.5" customHeight="1" x14ac:dyDescent="0.2">
      <c r="A63" s="44">
        <v>16</v>
      </c>
      <c r="B63" s="53">
        <v>3883</v>
      </c>
      <c r="C63" s="69" t="s">
        <v>1301</v>
      </c>
      <c r="D63" s="243" t="s">
        <v>1936</v>
      </c>
      <c r="E63" s="244"/>
      <c r="F63" s="62"/>
      <c r="G63" s="60"/>
      <c r="H63" s="61"/>
      <c r="I63" s="55"/>
      <c r="J63" s="56"/>
      <c r="K63" s="57"/>
      <c r="L63" s="58">
        <f>_11_A通院１増７．５</f>
        <v>1245</v>
      </c>
      <c r="M63" s="59"/>
    </row>
    <row r="64" spans="1:13" ht="16.5" customHeight="1" x14ac:dyDescent="0.2">
      <c r="A64" s="44">
        <v>16</v>
      </c>
      <c r="B64" s="53">
        <v>3884</v>
      </c>
      <c r="C64" s="69" t="s">
        <v>1302</v>
      </c>
      <c r="D64" s="245"/>
      <c r="E64" s="246"/>
      <c r="F64" s="54"/>
      <c r="G64" s="49"/>
      <c r="H64" s="50"/>
      <c r="I64" s="55" t="s">
        <v>396</v>
      </c>
      <c r="J64" s="56" t="s">
        <v>397</v>
      </c>
      <c r="K64" s="57">
        <v>1</v>
      </c>
      <c r="L64" s="58">
        <f>ROUND((_11_A通院１増７．５*_11・２人),0)</f>
        <v>1245</v>
      </c>
      <c r="M64" s="59"/>
    </row>
    <row r="65" spans="1:13" ht="16.5" customHeight="1" x14ac:dyDescent="0.2">
      <c r="A65" s="44">
        <v>16</v>
      </c>
      <c r="B65" s="53">
        <v>3885</v>
      </c>
      <c r="C65" s="69" t="s">
        <v>1303</v>
      </c>
      <c r="D65" s="245"/>
      <c r="E65" s="246"/>
      <c r="F65" s="241" t="s">
        <v>398</v>
      </c>
      <c r="G65" s="60" t="s">
        <v>397</v>
      </c>
      <c r="H65" s="61">
        <v>0.7</v>
      </c>
      <c r="I65" s="55"/>
      <c r="J65" s="56"/>
      <c r="K65" s="57"/>
      <c r="L65" s="58">
        <f>ROUND((_11_A通院１増７．５*_11・基礎１),0)</f>
        <v>872</v>
      </c>
      <c r="M65" s="59"/>
    </row>
    <row r="66" spans="1:13" ht="16.5" customHeight="1" x14ac:dyDescent="0.2">
      <c r="A66" s="44">
        <v>16</v>
      </c>
      <c r="B66" s="53">
        <v>3886</v>
      </c>
      <c r="C66" s="69" t="s">
        <v>1304</v>
      </c>
      <c r="D66" s="84">
        <f>_11_A通院１増７．５</f>
        <v>1245</v>
      </c>
      <c r="E66" s="25" t="s">
        <v>394</v>
      </c>
      <c r="F66" s="257"/>
      <c r="G66" s="49"/>
      <c r="H66" s="50"/>
      <c r="I66" s="55" t="s">
        <v>396</v>
      </c>
      <c r="J66" s="56" t="s">
        <v>397</v>
      </c>
      <c r="K66" s="57">
        <v>1</v>
      </c>
      <c r="L66" s="58">
        <f>ROUND((ROUND((_11_A通院１増７．５*_11・基礎１),0)*_11・２人),0)</f>
        <v>872</v>
      </c>
      <c r="M66" s="59"/>
    </row>
    <row r="67" spans="1:13" ht="16.5" customHeight="1" x14ac:dyDescent="0.2">
      <c r="A67" s="44">
        <v>16</v>
      </c>
      <c r="B67" s="53">
        <v>3887</v>
      </c>
      <c r="C67" s="69" t="s">
        <v>1305</v>
      </c>
      <c r="D67" s="243" t="s">
        <v>1937</v>
      </c>
      <c r="E67" s="244"/>
      <c r="F67" s="62"/>
      <c r="G67" s="60"/>
      <c r="H67" s="61"/>
      <c r="I67" s="55"/>
      <c r="J67" s="56"/>
      <c r="K67" s="57"/>
      <c r="L67" s="58">
        <f>_11_A通院１増８．０</f>
        <v>1328</v>
      </c>
      <c r="M67" s="59"/>
    </row>
    <row r="68" spans="1:13" ht="16.5" customHeight="1" x14ac:dyDescent="0.2">
      <c r="A68" s="44">
        <v>16</v>
      </c>
      <c r="B68" s="53">
        <v>3888</v>
      </c>
      <c r="C68" s="69" t="s">
        <v>1306</v>
      </c>
      <c r="D68" s="245"/>
      <c r="E68" s="246"/>
      <c r="F68" s="54"/>
      <c r="G68" s="49"/>
      <c r="H68" s="50"/>
      <c r="I68" s="55" t="s">
        <v>396</v>
      </c>
      <c r="J68" s="56" t="s">
        <v>397</v>
      </c>
      <c r="K68" s="57">
        <v>1</v>
      </c>
      <c r="L68" s="58">
        <f>ROUND((_11_A通院１増８．０*_11・２人),0)</f>
        <v>1328</v>
      </c>
      <c r="M68" s="59"/>
    </row>
    <row r="69" spans="1:13" ht="16.5" customHeight="1" x14ac:dyDescent="0.2">
      <c r="A69" s="44">
        <v>16</v>
      </c>
      <c r="B69" s="53">
        <v>3889</v>
      </c>
      <c r="C69" s="69" t="s">
        <v>1307</v>
      </c>
      <c r="D69" s="245"/>
      <c r="E69" s="246"/>
      <c r="F69" s="241" t="s">
        <v>398</v>
      </c>
      <c r="G69" s="60" t="s">
        <v>397</v>
      </c>
      <c r="H69" s="61">
        <v>0.7</v>
      </c>
      <c r="I69" s="55"/>
      <c r="J69" s="56"/>
      <c r="K69" s="57"/>
      <c r="L69" s="58">
        <f>ROUND((_11_A通院１増８．０*_11・基礎１),0)</f>
        <v>930</v>
      </c>
      <c r="M69" s="59"/>
    </row>
    <row r="70" spans="1:13" ht="16.5" customHeight="1" x14ac:dyDescent="0.2">
      <c r="A70" s="44">
        <v>16</v>
      </c>
      <c r="B70" s="53">
        <v>3890</v>
      </c>
      <c r="C70" s="69" t="s">
        <v>1308</v>
      </c>
      <c r="D70" s="84">
        <f>_11_A通院１増８．０</f>
        <v>1328</v>
      </c>
      <c r="E70" s="25" t="s">
        <v>394</v>
      </c>
      <c r="F70" s="257"/>
      <c r="G70" s="49"/>
      <c r="H70" s="50"/>
      <c r="I70" s="55" t="s">
        <v>396</v>
      </c>
      <c r="J70" s="56" t="s">
        <v>397</v>
      </c>
      <c r="K70" s="57">
        <v>1</v>
      </c>
      <c r="L70" s="58">
        <f>ROUND((ROUND((_11_A通院１増８．０*_11・基礎１),0)*_11・２人),0)</f>
        <v>930</v>
      </c>
      <c r="M70" s="59"/>
    </row>
    <row r="71" spans="1:13" ht="16.5" customHeight="1" x14ac:dyDescent="0.2">
      <c r="A71" s="44">
        <v>16</v>
      </c>
      <c r="B71" s="53">
        <v>3891</v>
      </c>
      <c r="C71" s="69" t="s">
        <v>1309</v>
      </c>
      <c r="D71" s="243" t="s">
        <v>1938</v>
      </c>
      <c r="E71" s="244"/>
      <c r="F71" s="62"/>
      <c r="G71" s="60"/>
      <c r="H71" s="61"/>
      <c r="I71" s="55"/>
      <c r="J71" s="56"/>
      <c r="K71" s="57"/>
      <c r="L71" s="58">
        <f>_11_A通院１増８．５</f>
        <v>1411</v>
      </c>
      <c r="M71" s="59"/>
    </row>
    <row r="72" spans="1:13" ht="16.5" customHeight="1" x14ac:dyDescent="0.2">
      <c r="A72" s="44">
        <v>16</v>
      </c>
      <c r="B72" s="53">
        <v>3892</v>
      </c>
      <c r="C72" s="69" t="s">
        <v>1310</v>
      </c>
      <c r="D72" s="245"/>
      <c r="E72" s="246"/>
      <c r="F72" s="54"/>
      <c r="G72" s="49"/>
      <c r="H72" s="50"/>
      <c r="I72" s="55" t="s">
        <v>396</v>
      </c>
      <c r="J72" s="56" t="s">
        <v>397</v>
      </c>
      <c r="K72" s="57">
        <v>1</v>
      </c>
      <c r="L72" s="58">
        <f>ROUND((_11_A通院１増８．５*_11・２人),0)</f>
        <v>1411</v>
      </c>
      <c r="M72" s="59"/>
    </row>
    <row r="73" spans="1:13" ht="16.5" customHeight="1" x14ac:dyDescent="0.2">
      <c r="A73" s="44">
        <v>16</v>
      </c>
      <c r="B73" s="53">
        <v>3893</v>
      </c>
      <c r="C73" s="69" t="s">
        <v>1311</v>
      </c>
      <c r="D73" s="245"/>
      <c r="E73" s="246"/>
      <c r="F73" s="241" t="s">
        <v>398</v>
      </c>
      <c r="G73" s="60" t="s">
        <v>397</v>
      </c>
      <c r="H73" s="61">
        <v>0.7</v>
      </c>
      <c r="I73" s="55"/>
      <c r="J73" s="56"/>
      <c r="K73" s="57"/>
      <c r="L73" s="58">
        <f>ROUND((_11_A通院１増８．５*_11・基礎１),0)</f>
        <v>988</v>
      </c>
      <c r="M73" s="59"/>
    </row>
    <row r="74" spans="1:13" ht="16.5" customHeight="1" x14ac:dyDescent="0.2">
      <c r="A74" s="44">
        <v>16</v>
      </c>
      <c r="B74" s="53">
        <v>3894</v>
      </c>
      <c r="C74" s="69" t="s">
        <v>1312</v>
      </c>
      <c r="D74" s="84">
        <f>_11_A通院１増８．５</f>
        <v>1411</v>
      </c>
      <c r="E74" s="25" t="s">
        <v>394</v>
      </c>
      <c r="F74" s="257"/>
      <c r="G74" s="49"/>
      <c r="H74" s="50"/>
      <c r="I74" s="55" t="s">
        <v>396</v>
      </c>
      <c r="J74" s="56" t="s">
        <v>397</v>
      </c>
      <c r="K74" s="57">
        <v>1</v>
      </c>
      <c r="L74" s="58">
        <f>ROUND((ROUND((_11_A通院１増８．５*_11・基礎１),0)*_11・２人),0)</f>
        <v>988</v>
      </c>
      <c r="M74" s="59"/>
    </row>
    <row r="75" spans="1:13" ht="16.5" customHeight="1" x14ac:dyDescent="0.2">
      <c r="A75" s="44">
        <v>16</v>
      </c>
      <c r="B75" s="53">
        <v>3895</v>
      </c>
      <c r="C75" s="69" t="s">
        <v>1313</v>
      </c>
      <c r="D75" s="243" t="s">
        <v>1939</v>
      </c>
      <c r="E75" s="244"/>
      <c r="F75" s="62"/>
      <c r="G75" s="60"/>
      <c r="H75" s="61"/>
      <c r="I75" s="55"/>
      <c r="J75" s="56"/>
      <c r="K75" s="57"/>
      <c r="L75" s="58">
        <f>_11_A通院１増９．０</f>
        <v>1494</v>
      </c>
      <c r="M75" s="59"/>
    </row>
    <row r="76" spans="1:13" ht="16.5" customHeight="1" x14ac:dyDescent="0.2">
      <c r="A76" s="44">
        <v>16</v>
      </c>
      <c r="B76" s="53">
        <v>3896</v>
      </c>
      <c r="C76" s="69" t="s">
        <v>1314</v>
      </c>
      <c r="D76" s="245"/>
      <c r="E76" s="246"/>
      <c r="F76" s="54"/>
      <c r="G76" s="49"/>
      <c r="H76" s="50"/>
      <c r="I76" s="55" t="s">
        <v>396</v>
      </c>
      <c r="J76" s="56" t="s">
        <v>397</v>
      </c>
      <c r="K76" s="57">
        <v>1</v>
      </c>
      <c r="L76" s="58">
        <f>ROUND((_11_A通院１増９．０*_11・２人),0)</f>
        <v>1494</v>
      </c>
      <c r="M76" s="59"/>
    </row>
    <row r="77" spans="1:13" ht="16.5" customHeight="1" x14ac:dyDescent="0.2">
      <c r="A77" s="44">
        <v>16</v>
      </c>
      <c r="B77" s="53">
        <v>3897</v>
      </c>
      <c r="C77" s="69" t="s">
        <v>1315</v>
      </c>
      <c r="D77" s="245"/>
      <c r="E77" s="246"/>
      <c r="F77" s="241" t="s">
        <v>398</v>
      </c>
      <c r="G77" s="60" t="s">
        <v>397</v>
      </c>
      <c r="H77" s="61">
        <v>0.7</v>
      </c>
      <c r="I77" s="55"/>
      <c r="J77" s="56"/>
      <c r="K77" s="57"/>
      <c r="L77" s="58">
        <f>ROUND((_11_A通院１増９．０*_11・基礎１),0)</f>
        <v>1046</v>
      </c>
      <c r="M77" s="59"/>
    </row>
    <row r="78" spans="1:13" ht="16.5" customHeight="1" x14ac:dyDescent="0.2">
      <c r="A78" s="44">
        <v>16</v>
      </c>
      <c r="B78" s="53">
        <v>3898</v>
      </c>
      <c r="C78" s="69" t="s">
        <v>1316</v>
      </c>
      <c r="D78" s="84">
        <f>_11_A通院１増９．０</f>
        <v>1494</v>
      </c>
      <c r="E78" s="25" t="s">
        <v>394</v>
      </c>
      <c r="F78" s="257"/>
      <c r="G78" s="49"/>
      <c r="H78" s="50"/>
      <c r="I78" s="55" t="s">
        <v>396</v>
      </c>
      <c r="J78" s="56" t="s">
        <v>397</v>
      </c>
      <c r="K78" s="57">
        <v>1</v>
      </c>
      <c r="L78" s="58">
        <f>ROUND((ROUND((_11_A通院１増９．０*_11・基礎１),0)*_11・２人),0)</f>
        <v>1046</v>
      </c>
      <c r="M78" s="59"/>
    </row>
    <row r="79" spans="1:13" ht="16.5" customHeight="1" x14ac:dyDescent="0.2">
      <c r="A79" s="44">
        <v>16</v>
      </c>
      <c r="B79" s="44">
        <v>3899</v>
      </c>
      <c r="C79" s="45" t="s">
        <v>1317</v>
      </c>
      <c r="D79" s="245" t="s">
        <v>1940</v>
      </c>
      <c r="E79" s="246"/>
      <c r="F79" s="47"/>
      <c r="I79" s="48"/>
      <c r="J79" s="49"/>
      <c r="K79" s="50"/>
      <c r="L79" s="51">
        <f>_11_A通院１増９．５</f>
        <v>1577</v>
      </c>
      <c r="M79" s="183"/>
    </row>
    <row r="80" spans="1:13" ht="16.5" customHeight="1" x14ac:dyDescent="0.2">
      <c r="A80" s="44">
        <v>16</v>
      </c>
      <c r="B80" s="53">
        <v>3900</v>
      </c>
      <c r="C80" s="69" t="s">
        <v>1318</v>
      </c>
      <c r="D80" s="245"/>
      <c r="E80" s="246"/>
      <c r="F80" s="54"/>
      <c r="G80" s="49"/>
      <c r="H80" s="50"/>
      <c r="I80" s="55" t="s">
        <v>396</v>
      </c>
      <c r="J80" s="56" t="s">
        <v>397</v>
      </c>
      <c r="K80" s="57">
        <v>1</v>
      </c>
      <c r="L80" s="58">
        <f>ROUND((_11_A通院１増９．５*_11・２人),0)</f>
        <v>1577</v>
      </c>
      <c r="M80" s="52"/>
    </row>
    <row r="81" spans="1:13" ht="16.5" customHeight="1" x14ac:dyDescent="0.2">
      <c r="A81" s="44">
        <v>16</v>
      </c>
      <c r="B81" s="53">
        <v>3901</v>
      </c>
      <c r="C81" s="69" t="s">
        <v>1319</v>
      </c>
      <c r="D81" s="245"/>
      <c r="E81" s="246"/>
      <c r="F81" s="241" t="s">
        <v>398</v>
      </c>
      <c r="G81" s="60" t="s">
        <v>397</v>
      </c>
      <c r="H81" s="61">
        <v>0.7</v>
      </c>
      <c r="I81" s="55"/>
      <c r="J81" s="56"/>
      <c r="K81" s="57"/>
      <c r="L81" s="58">
        <f>ROUND((_11_A通院１増９．５*_11・基礎１),0)</f>
        <v>1104</v>
      </c>
      <c r="M81" s="59"/>
    </row>
    <row r="82" spans="1:13" ht="16.5" customHeight="1" x14ac:dyDescent="0.2">
      <c r="A82" s="44">
        <v>16</v>
      </c>
      <c r="B82" s="53">
        <v>3902</v>
      </c>
      <c r="C82" s="69" t="s">
        <v>1320</v>
      </c>
      <c r="D82" s="84">
        <f>_11_A通院１増９．５</f>
        <v>1577</v>
      </c>
      <c r="E82" s="25" t="s">
        <v>394</v>
      </c>
      <c r="F82" s="257"/>
      <c r="G82" s="49"/>
      <c r="H82" s="50"/>
      <c r="I82" s="55" t="s">
        <v>396</v>
      </c>
      <c r="J82" s="56" t="s">
        <v>397</v>
      </c>
      <c r="K82" s="57">
        <v>1</v>
      </c>
      <c r="L82" s="58">
        <f>ROUND((ROUND((_11_A通院１増９．５*_11・基礎１),0)*_11・２人),0)</f>
        <v>1104</v>
      </c>
      <c r="M82" s="59"/>
    </row>
    <row r="83" spans="1:13" ht="16.5" customHeight="1" x14ac:dyDescent="0.2">
      <c r="A83" s="44">
        <v>16</v>
      </c>
      <c r="B83" s="53">
        <v>3903</v>
      </c>
      <c r="C83" s="69" t="s">
        <v>1321</v>
      </c>
      <c r="D83" s="243" t="s">
        <v>1941</v>
      </c>
      <c r="E83" s="244"/>
      <c r="F83" s="62"/>
      <c r="G83" s="60"/>
      <c r="H83" s="61"/>
      <c r="I83" s="55"/>
      <c r="J83" s="56"/>
      <c r="K83" s="57"/>
      <c r="L83" s="58">
        <f>_11_A通院１増１０．０</f>
        <v>1660</v>
      </c>
      <c r="M83" s="59"/>
    </row>
    <row r="84" spans="1:13" ht="16.5" customHeight="1" x14ac:dyDescent="0.2">
      <c r="A84" s="44">
        <v>16</v>
      </c>
      <c r="B84" s="53">
        <v>3904</v>
      </c>
      <c r="C84" s="69" t="s">
        <v>1322</v>
      </c>
      <c r="D84" s="245"/>
      <c r="E84" s="246"/>
      <c r="F84" s="54"/>
      <c r="G84" s="49"/>
      <c r="H84" s="50"/>
      <c r="I84" s="55" t="s">
        <v>396</v>
      </c>
      <c r="J84" s="56" t="s">
        <v>397</v>
      </c>
      <c r="K84" s="57">
        <v>1</v>
      </c>
      <c r="L84" s="58">
        <f>ROUND((_11_A通院１増１０．０*_11・２人),0)</f>
        <v>1660</v>
      </c>
      <c r="M84" s="59"/>
    </row>
    <row r="85" spans="1:13" ht="16.5" customHeight="1" x14ac:dyDescent="0.2">
      <c r="A85" s="44">
        <v>16</v>
      </c>
      <c r="B85" s="53">
        <v>3905</v>
      </c>
      <c r="C85" s="69" t="s">
        <v>1323</v>
      </c>
      <c r="D85" s="245"/>
      <c r="E85" s="246"/>
      <c r="F85" s="241" t="s">
        <v>398</v>
      </c>
      <c r="G85" s="60" t="s">
        <v>397</v>
      </c>
      <c r="H85" s="61">
        <v>0.7</v>
      </c>
      <c r="I85" s="55"/>
      <c r="J85" s="56"/>
      <c r="K85" s="57"/>
      <c r="L85" s="58">
        <f>ROUND((_11_A通院１増１０．０*_11・基礎１),0)</f>
        <v>1162</v>
      </c>
      <c r="M85" s="59"/>
    </row>
    <row r="86" spans="1:13" ht="16.5" customHeight="1" x14ac:dyDescent="0.2">
      <c r="A86" s="44">
        <v>16</v>
      </c>
      <c r="B86" s="53">
        <v>3906</v>
      </c>
      <c r="C86" s="69" t="s">
        <v>1324</v>
      </c>
      <c r="D86" s="84">
        <f>_11_A通院１増１０．０</f>
        <v>1660</v>
      </c>
      <c r="E86" s="25" t="s">
        <v>394</v>
      </c>
      <c r="F86" s="257"/>
      <c r="G86" s="49"/>
      <c r="H86" s="50"/>
      <c r="I86" s="55" t="s">
        <v>396</v>
      </c>
      <c r="J86" s="56" t="s">
        <v>397</v>
      </c>
      <c r="K86" s="57">
        <v>1</v>
      </c>
      <c r="L86" s="58">
        <f>ROUND((ROUND((_11_A通院１増１０．０*_11・基礎１),0)*_11・２人),0)</f>
        <v>1162</v>
      </c>
      <c r="M86" s="59"/>
    </row>
    <row r="87" spans="1:13" ht="16.5" customHeight="1" x14ac:dyDescent="0.2">
      <c r="A87" s="44">
        <v>16</v>
      </c>
      <c r="B87" s="53">
        <v>3907</v>
      </c>
      <c r="C87" s="69" t="s">
        <v>1325</v>
      </c>
      <c r="D87" s="243" t="s">
        <v>1942</v>
      </c>
      <c r="E87" s="244"/>
      <c r="F87" s="62"/>
      <c r="G87" s="60"/>
      <c r="H87" s="61"/>
      <c r="I87" s="55"/>
      <c r="J87" s="56"/>
      <c r="K87" s="57"/>
      <c r="L87" s="58">
        <f>_11_A通院１増１０．５</f>
        <v>1743</v>
      </c>
      <c r="M87" s="59"/>
    </row>
    <row r="88" spans="1:13" ht="16.5" customHeight="1" x14ac:dyDescent="0.2">
      <c r="A88" s="44">
        <v>16</v>
      </c>
      <c r="B88" s="53">
        <v>3908</v>
      </c>
      <c r="C88" s="69" t="s">
        <v>1326</v>
      </c>
      <c r="D88" s="245"/>
      <c r="E88" s="246"/>
      <c r="F88" s="54"/>
      <c r="G88" s="49"/>
      <c r="H88" s="50"/>
      <c r="I88" s="55" t="s">
        <v>396</v>
      </c>
      <c r="J88" s="56" t="s">
        <v>397</v>
      </c>
      <c r="K88" s="57">
        <v>1</v>
      </c>
      <c r="L88" s="58">
        <f>ROUND((_11_A通院１増１０．５*_11・２人),0)</f>
        <v>1743</v>
      </c>
      <c r="M88" s="59"/>
    </row>
    <row r="89" spans="1:13" ht="16.5" customHeight="1" x14ac:dyDescent="0.2">
      <c r="A89" s="44">
        <v>16</v>
      </c>
      <c r="B89" s="53">
        <v>3909</v>
      </c>
      <c r="C89" s="69" t="s">
        <v>1327</v>
      </c>
      <c r="D89" s="245"/>
      <c r="E89" s="246"/>
      <c r="F89" s="241" t="s">
        <v>398</v>
      </c>
      <c r="G89" s="60" t="s">
        <v>397</v>
      </c>
      <c r="H89" s="61">
        <v>0.7</v>
      </c>
      <c r="I89" s="55"/>
      <c r="J89" s="56"/>
      <c r="K89" s="57"/>
      <c r="L89" s="58">
        <f>ROUND((_11_A通院１増１０．５*_11・基礎１),0)</f>
        <v>1220</v>
      </c>
      <c r="M89" s="59"/>
    </row>
    <row r="90" spans="1:13" ht="16.5" customHeight="1" x14ac:dyDescent="0.2">
      <c r="A90" s="44">
        <v>16</v>
      </c>
      <c r="B90" s="53">
        <v>3910</v>
      </c>
      <c r="C90" s="69" t="s">
        <v>1328</v>
      </c>
      <c r="D90" s="110">
        <f>_11_A通院１増１０．５</f>
        <v>1743</v>
      </c>
      <c r="E90" s="49" t="s">
        <v>394</v>
      </c>
      <c r="F90" s="257"/>
      <c r="G90" s="49"/>
      <c r="H90" s="50"/>
      <c r="I90" s="55" t="s">
        <v>396</v>
      </c>
      <c r="J90" s="56" t="s">
        <v>397</v>
      </c>
      <c r="K90" s="57">
        <v>1</v>
      </c>
      <c r="L90" s="58">
        <f>ROUND((ROUND((_11_A通院１増１０．５*_11・基礎１),0)*_11・２人),0)</f>
        <v>1220</v>
      </c>
      <c r="M90" s="111"/>
    </row>
    <row r="91" spans="1:13" ht="16.5" customHeight="1" x14ac:dyDescent="0.2"/>
    <row r="92" spans="1:13" ht="16.5" customHeight="1" x14ac:dyDescent="0.2"/>
  </sheetData>
  <mergeCells count="42">
    <mergeCell ref="D15:E17"/>
    <mergeCell ref="F17:F18"/>
    <mergeCell ref="D7:E9"/>
    <mergeCell ref="F9:F10"/>
    <mergeCell ref="D11:E13"/>
    <mergeCell ref="F13:F14"/>
    <mergeCell ref="D27:E29"/>
    <mergeCell ref="F29:F30"/>
    <mergeCell ref="D19:E21"/>
    <mergeCell ref="F21:F22"/>
    <mergeCell ref="D23:E25"/>
    <mergeCell ref="F25:F26"/>
    <mergeCell ref="D39:E41"/>
    <mergeCell ref="F41:F42"/>
    <mergeCell ref="D31:E33"/>
    <mergeCell ref="F33:F34"/>
    <mergeCell ref="D35:E37"/>
    <mergeCell ref="F37:F38"/>
    <mergeCell ref="D51:E53"/>
    <mergeCell ref="F53:F54"/>
    <mergeCell ref="D43:E45"/>
    <mergeCell ref="F45:F46"/>
    <mergeCell ref="D47:E49"/>
    <mergeCell ref="F49:F50"/>
    <mergeCell ref="D63:E65"/>
    <mergeCell ref="F65:F66"/>
    <mergeCell ref="D55:E57"/>
    <mergeCell ref="F57:F58"/>
    <mergeCell ref="D59:E61"/>
    <mergeCell ref="F61:F62"/>
    <mergeCell ref="D75:E77"/>
    <mergeCell ref="F77:F78"/>
    <mergeCell ref="D67:E69"/>
    <mergeCell ref="F69:F70"/>
    <mergeCell ref="D71:E73"/>
    <mergeCell ref="F73:F74"/>
    <mergeCell ref="D87:E89"/>
    <mergeCell ref="F89:F90"/>
    <mergeCell ref="D79:E81"/>
    <mergeCell ref="F81:F82"/>
    <mergeCell ref="D83:E85"/>
    <mergeCell ref="F85:F8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U92"/>
  <sheetViews>
    <sheetView workbookViewId="0">
      <selection activeCell="A2" sqref="A2"/>
    </sheetView>
  </sheetViews>
  <sheetFormatPr defaultColWidth="8.90625" defaultRowHeight="14" x14ac:dyDescent="0.2"/>
  <cols>
    <col min="1" max="1" width="4.6328125" style="22" customWidth="1"/>
    <col min="2" max="2" width="7.6328125" style="22" customWidth="1"/>
    <col min="3" max="3" width="34.90625" style="23" bestFit="1" customWidth="1"/>
    <col min="4" max="4" width="6" style="23" bestFit="1" customWidth="1"/>
    <col min="5" max="5" width="5.36328125" style="90" bestFit="1" customWidth="1"/>
    <col min="6" max="6" width="11.90625" style="25" customWidth="1"/>
    <col min="7" max="7" width="3.453125" style="25" bestFit="1" customWidth="1"/>
    <col min="8" max="8" width="4.453125" style="26" bestFit="1" customWidth="1"/>
    <col min="9" max="9" width="25.36328125" style="27" bestFit="1" customWidth="1"/>
    <col min="10" max="10" width="3.453125" style="25" bestFit="1" customWidth="1"/>
    <col min="11" max="11" width="5.453125" style="26" bestFit="1" customWidth="1"/>
    <col min="12" max="12" width="7.08984375" style="28" customWidth="1"/>
    <col min="13" max="13" width="8.6328125" style="29" customWidth="1"/>
    <col min="14" max="18" width="8.90625" style="25"/>
    <col min="19" max="19" width="9.26953125" style="22" customWidth="1"/>
    <col min="20" max="20" width="4.36328125" style="25" customWidth="1"/>
    <col min="21" max="16384" width="8.90625" style="25"/>
  </cols>
  <sheetData>
    <row r="1" spans="1:21" ht="17.149999999999999" customHeight="1" x14ac:dyDescent="0.2"/>
    <row r="2" spans="1:21" ht="17.149999999999999" customHeight="1" x14ac:dyDescent="0.2">
      <c r="A2" s="236" t="s">
        <v>2795</v>
      </c>
    </row>
    <row r="3" spans="1:21" ht="17.149999999999999" customHeight="1" x14ac:dyDescent="0.2"/>
    <row r="4" spans="1:21" ht="17.149999999999999" customHeight="1" x14ac:dyDescent="0.2">
      <c r="B4" s="30" t="s">
        <v>2012</v>
      </c>
      <c r="D4" s="65"/>
      <c r="S4" s="30" t="s">
        <v>2012</v>
      </c>
    </row>
    <row r="5" spans="1:21" ht="16.5" customHeight="1" x14ac:dyDescent="0.2">
      <c r="A5" s="31" t="s">
        <v>386</v>
      </c>
      <c r="B5" s="32"/>
      <c r="C5" s="33" t="s">
        <v>387</v>
      </c>
      <c r="D5" s="34" t="s">
        <v>388</v>
      </c>
      <c r="E5" s="91"/>
      <c r="F5" s="34"/>
      <c r="G5" s="34"/>
      <c r="H5" s="35"/>
      <c r="I5" s="34"/>
      <c r="J5" s="34"/>
      <c r="K5" s="35"/>
      <c r="L5" s="36" t="s">
        <v>389</v>
      </c>
      <c r="M5" s="33" t="s">
        <v>390</v>
      </c>
      <c r="S5" s="32"/>
    </row>
    <row r="6" spans="1:21" ht="16.5" customHeight="1" x14ac:dyDescent="0.2">
      <c r="A6" s="37" t="s">
        <v>391</v>
      </c>
      <c r="B6" s="37" t="s">
        <v>392</v>
      </c>
      <c r="C6" s="38"/>
      <c r="D6" s="40"/>
      <c r="E6" s="93"/>
      <c r="F6" s="40"/>
      <c r="G6" s="40"/>
      <c r="H6" s="41"/>
      <c r="I6" s="40"/>
      <c r="J6" s="40"/>
      <c r="K6" s="41"/>
      <c r="L6" s="42" t="s">
        <v>393</v>
      </c>
      <c r="M6" s="43" t="s">
        <v>394</v>
      </c>
      <c r="S6" s="37" t="s">
        <v>392</v>
      </c>
    </row>
    <row r="7" spans="1:21" ht="16.5" customHeight="1" x14ac:dyDescent="0.2">
      <c r="A7" s="184">
        <v>16</v>
      </c>
      <c r="B7" s="184">
        <v>4289</v>
      </c>
      <c r="C7" s="207" t="s">
        <v>2013</v>
      </c>
      <c r="D7" s="259" t="s">
        <v>1923</v>
      </c>
      <c r="E7" s="260"/>
      <c r="F7" s="185"/>
      <c r="G7" s="186"/>
      <c r="H7" s="187"/>
      <c r="I7" s="188"/>
      <c r="J7" s="189"/>
      <c r="K7" s="190"/>
      <c r="L7" s="191">
        <v>84</v>
      </c>
      <c r="M7" s="192" t="s">
        <v>395</v>
      </c>
      <c r="S7" s="184" t="s">
        <v>2210</v>
      </c>
      <c r="U7" s="25" t="s">
        <v>2790</v>
      </c>
    </row>
    <row r="8" spans="1:21" ht="16.5" customHeight="1" x14ac:dyDescent="0.2">
      <c r="A8" s="193">
        <v>16</v>
      </c>
      <c r="B8" s="184">
        <v>4290</v>
      </c>
      <c r="C8" s="210" t="s">
        <v>2014</v>
      </c>
      <c r="D8" s="261"/>
      <c r="E8" s="260"/>
      <c r="F8" s="194"/>
      <c r="G8" s="189"/>
      <c r="H8" s="190"/>
      <c r="I8" s="195" t="s">
        <v>396</v>
      </c>
      <c r="J8" s="196" t="s">
        <v>397</v>
      </c>
      <c r="K8" s="197">
        <v>1</v>
      </c>
      <c r="L8" s="198">
        <v>84</v>
      </c>
      <c r="M8" s="199"/>
      <c r="S8" s="184" t="s">
        <v>2211</v>
      </c>
    </row>
    <row r="9" spans="1:21" ht="16.5" customHeight="1" x14ac:dyDescent="0.2">
      <c r="A9" s="193">
        <v>16</v>
      </c>
      <c r="B9" s="184">
        <v>4291</v>
      </c>
      <c r="C9" s="210" t="s">
        <v>2015</v>
      </c>
      <c r="D9" s="261"/>
      <c r="E9" s="260"/>
      <c r="F9" s="262" t="s">
        <v>398</v>
      </c>
      <c r="G9" s="200" t="s">
        <v>397</v>
      </c>
      <c r="H9" s="201">
        <v>0.7</v>
      </c>
      <c r="I9" s="195"/>
      <c r="J9" s="196"/>
      <c r="K9" s="197"/>
      <c r="L9" s="198">
        <v>59</v>
      </c>
      <c r="M9" s="199"/>
      <c r="S9" s="184" t="s">
        <v>2212</v>
      </c>
    </row>
    <row r="10" spans="1:21" ht="16.5" customHeight="1" x14ac:dyDescent="0.2">
      <c r="A10" s="193">
        <v>16</v>
      </c>
      <c r="B10" s="184">
        <v>4292</v>
      </c>
      <c r="C10" s="210" t="s">
        <v>2016</v>
      </c>
      <c r="D10" s="203">
        <v>84</v>
      </c>
      <c r="E10" s="186" t="s">
        <v>394</v>
      </c>
      <c r="F10" s="263"/>
      <c r="G10" s="189"/>
      <c r="H10" s="190"/>
      <c r="I10" s="195" t="s">
        <v>396</v>
      </c>
      <c r="J10" s="196" t="s">
        <v>397</v>
      </c>
      <c r="K10" s="197">
        <v>1</v>
      </c>
      <c r="L10" s="198">
        <v>59</v>
      </c>
      <c r="M10" s="199"/>
      <c r="S10" s="184" t="s">
        <v>2213</v>
      </c>
    </row>
    <row r="11" spans="1:21" ht="16.5" customHeight="1" x14ac:dyDescent="0.2">
      <c r="A11" s="193">
        <v>16</v>
      </c>
      <c r="B11" s="184">
        <v>4293</v>
      </c>
      <c r="C11" s="210" t="s">
        <v>2017</v>
      </c>
      <c r="D11" s="264" t="s">
        <v>1922</v>
      </c>
      <c r="E11" s="265"/>
      <c r="F11" s="202"/>
      <c r="G11" s="200"/>
      <c r="H11" s="201"/>
      <c r="I11" s="195"/>
      <c r="J11" s="196"/>
      <c r="K11" s="197"/>
      <c r="L11" s="198">
        <v>167</v>
      </c>
      <c r="M11" s="199"/>
      <c r="S11" s="184" t="s">
        <v>2214</v>
      </c>
    </row>
    <row r="12" spans="1:21" ht="16.5" customHeight="1" x14ac:dyDescent="0.2">
      <c r="A12" s="193">
        <v>16</v>
      </c>
      <c r="B12" s="184">
        <v>4294</v>
      </c>
      <c r="C12" s="210" t="s">
        <v>2018</v>
      </c>
      <c r="D12" s="261"/>
      <c r="E12" s="260"/>
      <c r="F12" s="194"/>
      <c r="G12" s="189"/>
      <c r="H12" s="190"/>
      <c r="I12" s="195" t="s">
        <v>396</v>
      </c>
      <c r="J12" s="196" t="s">
        <v>397</v>
      </c>
      <c r="K12" s="197">
        <v>1</v>
      </c>
      <c r="L12" s="198">
        <v>167</v>
      </c>
      <c r="M12" s="199"/>
      <c r="S12" s="184" t="s">
        <v>2215</v>
      </c>
    </row>
    <row r="13" spans="1:21" ht="16.5" customHeight="1" x14ac:dyDescent="0.2">
      <c r="A13" s="193">
        <v>16</v>
      </c>
      <c r="B13" s="184">
        <v>4295</v>
      </c>
      <c r="C13" s="210" t="s">
        <v>2019</v>
      </c>
      <c r="D13" s="261"/>
      <c r="E13" s="260"/>
      <c r="F13" s="262" t="s">
        <v>398</v>
      </c>
      <c r="G13" s="200" t="s">
        <v>397</v>
      </c>
      <c r="H13" s="201">
        <v>0.7</v>
      </c>
      <c r="I13" s="195"/>
      <c r="J13" s="196"/>
      <c r="K13" s="197"/>
      <c r="L13" s="198">
        <v>117</v>
      </c>
      <c r="M13" s="199"/>
      <c r="S13" s="184" t="s">
        <v>2216</v>
      </c>
    </row>
    <row r="14" spans="1:21" ht="16.5" customHeight="1" x14ac:dyDescent="0.2">
      <c r="A14" s="193">
        <v>16</v>
      </c>
      <c r="B14" s="184">
        <v>4296</v>
      </c>
      <c r="C14" s="210" t="s">
        <v>2020</v>
      </c>
      <c r="D14" s="203">
        <v>167</v>
      </c>
      <c r="E14" s="186" t="s">
        <v>394</v>
      </c>
      <c r="F14" s="261"/>
      <c r="G14" s="189"/>
      <c r="H14" s="190"/>
      <c r="I14" s="195" t="s">
        <v>396</v>
      </c>
      <c r="J14" s="196" t="s">
        <v>397</v>
      </c>
      <c r="K14" s="197">
        <v>1</v>
      </c>
      <c r="L14" s="198">
        <v>117</v>
      </c>
      <c r="M14" s="199"/>
      <c r="S14" s="184" t="s">
        <v>2217</v>
      </c>
    </row>
    <row r="15" spans="1:21" ht="16.5" customHeight="1" x14ac:dyDescent="0.2">
      <c r="A15" s="193">
        <v>16</v>
      </c>
      <c r="B15" s="184">
        <v>4297</v>
      </c>
      <c r="C15" s="210" t="s">
        <v>2021</v>
      </c>
      <c r="D15" s="264" t="s">
        <v>1924</v>
      </c>
      <c r="E15" s="265"/>
      <c r="F15" s="202"/>
      <c r="G15" s="200"/>
      <c r="H15" s="201"/>
      <c r="I15" s="195"/>
      <c r="J15" s="196"/>
      <c r="K15" s="197"/>
      <c r="L15" s="198">
        <v>250</v>
      </c>
      <c r="M15" s="199"/>
      <c r="S15" s="184" t="s">
        <v>2218</v>
      </c>
    </row>
    <row r="16" spans="1:21" ht="16.5" customHeight="1" x14ac:dyDescent="0.2">
      <c r="A16" s="193">
        <v>16</v>
      </c>
      <c r="B16" s="184">
        <v>4298</v>
      </c>
      <c r="C16" s="210" t="s">
        <v>2022</v>
      </c>
      <c r="D16" s="261"/>
      <c r="E16" s="260"/>
      <c r="F16" s="194"/>
      <c r="G16" s="189"/>
      <c r="H16" s="190"/>
      <c r="I16" s="195" t="s">
        <v>396</v>
      </c>
      <c r="J16" s="196" t="s">
        <v>397</v>
      </c>
      <c r="K16" s="197">
        <v>1</v>
      </c>
      <c r="L16" s="198">
        <v>250</v>
      </c>
      <c r="M16" s="199"/>
      <c r="S16" s="184" t="s">
        <v>2219</v>
      </c>
    </row>
    <row r="17" spans="1:19" ht="16.5" customHeight="1" x14ac:dyDescent="0.2">
      <c r="A17" s="193">
        <v>16</v>
      </c>
      <c r="B17" s="184">
        <v>4299</v>
      </c>
      <c r="C17" s="210" t="s">
        <v>2023</v>
      </c>
      <c r="D17" s="261"/>
      <c r="E17" s="260"/>
      <c r="F17" s="262" t="s">
        <v>398</v>
      </c>
      <c r="G17" s="200" t="s">
        <v>397</v>
      </c>
      <c r="H17" s="201">
        <v>0.7</v>
      </c>
      <c r="I17" s="195"/>
      <c r="J17" s="196"/>
      <c r="K17" s="197"/>
      <c r="L17" s="198">
        <v>175</v>
      </c>
      <c r="M17" s="199"/>
      <c r="S17" s="184" t="s">
        <v>2220</v>
      </c>
    </row>
    <row r="18" spans="1:19" ht="16.5" customHeight="1" x14ac:dyDescent="0.2">
      <c r="A18" s="193">
        <v>16</v>
      </c>
      <c r="B18" s="184">
        <v>4300</v>
      </c>
      <c r="C18" s="210" t="s">
        <v>2024</v>
      </c>
      <c r="D18" s="203">
        <v>250</v>
      </c>
      <c r="E18" s="186" t="s">
        <v>394</v>
      </c>
      <c r="F18" s="263"/>
      <c r="G18" s="189"/>
      <c r="H18" s="190"/>
      <c r="I18" s="195" t="s">
        <v>396</v>
      </c>
      <c r="J18" s="196" t="s">
        <v>397</v>
      </c>
      <c r="K18" s="197">
        <v>1</v>
      </c>
      <c r="L18" s="198">
        <v>175</v>
      </c>
      <c r="M18" s="199"/>
      <c r="S18" s="184" t="s">
        <v>2221</v>
      </c>
    </row>
    <row r="19" spans="1:19" ht="16.5" customHeight="1" x14ac:dyDescent="0.2">
      <c r="A19" s="193">
        <v>16</v>
      </c>
      <c r="B19" s="184">
        <v>4301</v>
      </c>
      <c r="C19" s="210" t="s">
        <v>2025</v>
      </c>
      <c r="D19" s="264" t="s">
        <v>1925</v>
      </c>
      <c r="E19" s="265"/>
      <c r="F19" s="202"/>
      <c r="G19" s="200"/>
      <c r="H19" s="201"/>
      <c r="I19" s="195"/>
      <c r="J19" s="196"/>
      <c r="K19" s="197"/>
      <c r="L19" s="198">
        <v>333</v>
      </c>
      <c r="M19" s="199"/>
      <c r="S19" s="184" t="s">
        <v>2222</v>
      </c>
    </row>
    <row r="20" spans="1:19" ht="16.5" customHeight="1" x14ac:dyDescent="0.2">
      <c r="A20" s="193">
        <v>16</v>
      </c>
      <c r="B20" s="184">
        <v>4302</v>
      </c>
      <c r="C20" s="210" t="s">
        <v>2026</v>
      </c>
      <c r="D20" s="261"/>
      <c r="E20" s="260"/>
      <c r="F20" s="194"/>
      <c r="G20" s="189"/>
      <c r="H20" s="190"/>
      <c r="I20" s="195" t="s">
        <v>396</v>
      </c>
      <c r="J20" s="196" t="s">
        <v>397</v>
      </c>
      <c r="K20" s="197">
        <v>1</v>
      </c>
      <c r="L20" s="198">
        <v>333</v>
      </c>
      <c r="M20" s="199"/>
      <c r="S20" s="184" t="s">
        <v>2223</v>
      </c>
    </row>
    <row r="21" spans="1:19" ht="16.5" customHeight="1" x14ac:dyDescent="0.2">
      <c r="A21" s="193">
        <v>16</v>
      </c>
      <c r="B21" s="184">
        <v>4303</v>
      </c>
      <c r="C21" s="210" t="s">
        <v>2027</v>
      </c>
      <c r="D21" s="261"/>
      <c r="E21" s="260"/>
      <c r="F21" s="262" t="s">
        <v>398</v>
      </c>
      <c r="G21" s="200" t="s">
        <v>397</v>
      </c>
      <c r="H21" s="201">
        <v>0.7</v>
      </c>
      <c r="I21" s="195"/>
      <c r="J21" s="196"/>
      <c r="K21" s="197"/>
      <c r="L21" s="198">
        <v>233</v>
      </c>
      <c r="M21" s="199"/>
      <c r="S21" s="184" t="s">
        <v>2224</v>
      </c>
    </row>
    <row r="22" spans="1:19" ht="16.5" customHeight="1" x14ac:dyDescent="0.2">
      <c r="A22" s="193">
        <v>16</v>
      </c>
      <c r="B22" s="184">
        <v>4304</v>
      </c>
      <c r="C22" s="210" t="s">
        <v>2028</v>
      </c>
      <c r="D22" s="203">
        <v>333</v>
      </c>
      <c r="E22" s="186" t="s">
        <v>394</v>
      </c>
      <c r="F22" s="263"/>
      <c r="G22" s="189"/>
      <c r="H22" s="190"/>
      <c r="I22" s="195" t="s">
        <v>396</v>
      </c>
      <c r="J22" s="196" t="s">
        <v>397</v>
      </c>
      <c r="K22" s="197">
        <v>1</v>
      </c>
      <c r="L22" s="198">
        <v>233</v>
      </c>
      <c r="M22" s="199"/>
      <c r="S22" s="184" t="s">
        <v>2225</v>
      </c>
    </row>
    <row r="23" spans="1:19" ht="16.5" customHeight="1" x14ac:dyDescent="0.2">
      <c r="A23" s="193">
        <v>16</v>
      </c>
      <c r="B23" s="184">
        <v>4305</v>
      </c>
      <c r="C23" s="210" t="s">
        <v>2029</v>
      </c>
      <c r="D23" s="264" t="s">
        <v>1926</v>
      </c>
      <c r="E23" s="265"/>
      <c r="F23" s="202"/>
      <c r="G23" s="200"/>
      <c r="H23" s="201"/>
      <c r="I23" s="195"/>
      <c r="J23" s="196"/>
      <c r="K23" s="197"/>
      <c r="L23" s="198">
        <v>416</v>
      </c>
      <c r="M23" s="199"/>
      <c r="S23" s="184" t="s">
        <v>2226</v>
      </c>
    </row>
    <row r="24" spans="1:19" ht="16.5" customHeight="1" x14ac:dyDescent="0.2">
      <c r="A24" s="193">
        <v>16</v>
      </c>
      <c r="B24" s="184">
        <v>4306</v>
      </c>
      <c r="C24" s="210" t="s">
        <v>2030</v>
      </c>
      <c r="D24" s="261"/>
      <c r="E24" s="260"/>
      <c r="F24" s="194"/>
      <c r="G24" s="189"/>
      <c r="H24" s="190"/>
      <c r="I24" s="195" t="s">
        <v>396</v>
      </c>
      <c r="J24" s="196" t="s">
        <v>397</v>
      </c>
      <c r="K24" s="197">
        <v>1</v>
      </c>
      <c r="L24" s="198">
        <v>416</v>
      </c>
      <c r="M24" s="199"/>
      <c r="S24" s="184" t="s">
        <v>2227</v>
      </c>
    </row>
    <row r="25" spans="1:19" ht="16.5" customHeight="1" x14ac:dyDescent="0.2">
      <c r="A25" s="193">
        <v>16</v>
      </c>
      <c r="B25" s="184">
        <v>4307</v>
      </c>
      <c r="C25" s="210" t="s">
        <v>2031</v>
      </c>
      <c r="D25" s="261"/>
      <c r="E25" s="260"/>
      <c r="F25" s="262" t="s">
        <v>398</v>
      </c>
      <c r="G25" s="200" t="s">
        <v>397</v>
      </c>
      <c r="H25" s="201">
        <v>0.7</v>
      </c>
      <c r="I25" s="195"/>
      <c r="J25" s="196"/>
      <c r="K25" s="197"/>
      <c r="L25" s="198">
        <v>291</v>
      </c>
      <c r="M25" s="199"/>
      <c r="S25" s="184" t="s">
        <v>2228</v>
      </c>
    </row>
    <row r="26" spans="1:19" ht="16.5" customHeight="1" x14ac:dyDescent="0.2">
      <c r="A26" s="193">
        <v>16</v>
      </c>
      <c r="B26" s="184">
        <v>4308</v>
      </c>
      <c r="C26" s="210" t="s">
        <v>2032</v>
      </c>
      <c r="D26" s="203">
        <v>416</v>
      </c>
      <c r="E26" s="186" t="s">
        <v>394</v>
      </c>
      <c r="F26" s="263"/>
      <c r="G26" s="189"/>
      <c r="H26" s="190"/>
      <c r="I26" s="195" t="s">
        <v>396</v>
      </c>
      <c r="J26" s="196" t="s">
        <v>397</v>
      </c>
      <c r="K26" s="197">
        <v>1</v>
      </c>
      <c r="L26" s="198">
        <v>291</v>
      </c>
      <c r="M26" s="199"/>
      <c r="S26" s="184" t="s">
        <v>2229</v>
      </c>
    </row>
    <row r="27" spans="1:19" ht="16.5" customHeight="1" x14ac:dyDescent="0.2">
      <c r="A27" s="193">
        <v>16</v>
      </c>
      <c r="B27" s="184">
        <v>4309</v>
      </c>
      <c r="C27" s="210" t="s">
        <v>2033</v>
      </c>
      <c r="D27" s="264" t="s">
        <v>1927</v>
      </c>
      <c r="E27" s="265"/>
      <c r="F27" s="202"/>
      <c r="G27" s="200"/>
      <c r="H27" s="201"/>
      <c r="I27" s="195"/>
      <c r="J27" s="196"/>
      <c r="K27" s="197"/>
      <c r="L27" s="198">
        <v>499</v>
      </c>
      <c r="M27" s="199"/>
      <c r="S27" s="184" t="s">
        <v>2230</v>
      </c>
    </row>
    <row r="28" spans="1:19" ht="16.5" customHeight="1" x14ac:dyDescent="0.2">
      <c r="A28" s="193">
        <v>16</v>
      </c>
      <c r="B28" s="184">
        <v>4310</v>
      </c>
      <c r="C28" s="210" t="s">
        <v>2034</v>
      </c>
      <c r="D28" s="261"/>
      <c r="E28" s="260"/>
      <c r="F28" s="194"/>
      <c r="G28" s="189"/>
      <c r="H28" s="190"/>
      <c r="I28" s="195" t="s">
        <v>396</v>
      </c>
      <c r="J28" s="196" t="s">
        <v>397</v>
      </c>
      <c r="K28" s="197">
        <v>1</v>
      </c>
      <c r="L28" s="198">
        <v>499</v>
      </c>
      <c r="M28" s="199"/>
      <c r="S28" s="184" t="s">
        <v>2231</v>
      </c>
    </row>
    <row r="29" spans="1:19" ht="16.5" customHeight="1" x14ac:dyDescent="0.2">
      <c r="A29" s="193">
        <v>16</v>
      </c>
      <c r="B29" s="184">
        <v>4311</v>
      </c>
      <c r="C29" s="210" t="s">
        <v>2035</v>
      </c>
      <c r="D29" s="261"/>
      <c r="E29" s="260"/>
      <c r="F29" s="262" t="s">
        <v>398</v>
      </c>
      <c r="G29" s="200" t="s">
        <v>397</v>
      </c>
      <c r="H29" s="201">
        <v>0.7</v>
      </c>
      <c r="I29" s="195"/>
      <c r="J29" s="196"/>
      <c r="K29" s="197"/>
      <c r="L29" s="198">
        <v>349</v>
      </c>
      <c r="M29" s="199"/>
      <c r="S29" s="184" t="s">
        <v>2232</v>
      </c>
    </row>
    <row r="30" spans="1:19" ht="16.5" customHeight="1" x14ac:dyDescent="0.2">
      <c r="A30" s="193">
        <v>16</v>
      </c>
      <c r="B30" s="184">
        <v>4312</v>
      </c>
      <c r="C30" s="210" t="s">
        <v>2036</v>
      </c>
      <c r="D30" s="203">
        <v>499</v>
      </c>
      <c r="E30" s="186" t="s">
        <v>394</v>
      </c>
      <c r="F30" s="263"/>
      <c r="G30" s="189"/>
      <c r="H30" s="190"/>
      <c r="I30" s="195" t="s">
        <v>396</v>
      </c>
      <c r="J30" s="196" t="s">
        <v>397</v>
      </c>
      <c r="K30" s="197">
        <v>1</v>
      </c>
      <c r="L30" s="198">
        <v>349</v>
      </c>
      <c r="M30" s="199"/>
      <c r="S30" s="184" t="s">
        <v>2233</v>
      </c>
    </row>
    <row r="31" spans="1:19" ht="16.5" customHeight="1" x14ac:dyDescent="0.2">
      <c r="A31" s="193">
        <v>16</v>
      </c>
      <c r="B31" s="184">
        <v>4313</v>
      </c>
      <c r="C31" s="210" t="s">
        <v>2037</v>
      </c>
      <c r="D31" s="264" t="s">
        <v>1928</v>
      </c>
      <c r="E31" s="265"/>
      <c r="F31" s="202"/>
      <c r="G31" s="200"/>
      <c r="H31" s="201"/>
      <c r="I31" s="195"/>
      <c r="J31" s="196"/>
      <c r="K31" s="197"/>
      <c r="L31" s="198">
        <v>582</v>
      </c>
      <c r="M31" s="199"/>
      <c r="S31" s="184" t="s">
        <v>2234</v>
      </c>
    </row>
    <row r="32" spans="1:19" ht="16.5" customHeight="1" x14ac:dyDescent="0.2">
      <c r="A32" s="193">
        <v>16</v>
      </c>
      <c r="B32" s="184">
        <v>4314</v>
      </c>
      <c r="C32" s="210" t="s">
        <v>2038</v>
      </c>
      <c r="D32" s="261"/>
      <c r="E32" s="260"/>
      <c r="F32" s="194"/>
      <c r="G32" s="189"/>
      <c r="H32" s="190"/>
      <c r="I32" s="195" t="s">
        <v>396</v>
      </c>
      <c r="J32" s="196" t="s">
        <v>397</v>
      </c>
      <c r="K32" s="197">
        <v>1</v>
      </c>
      <c r="L32" s="198">
        <v>582</v>
      </c>
      <c r="M32" s="199"/>
      <c r="S32" s="184" t="s">
        <v>2235</v>
      </c>
    </row>
    <row r="33" spans="1:19" ht="16.5" customHeight="1" x14ac:dyDescent="0.2">
      <c r="A33" s="193">
        <v>16</v>
      </c>
      <c r="B33" s="184">
        <v>4315</v>
      </c>
      <c r="C33" s="210" t="s">
        <v>2039</v>
      </c>
      <c r="D33" s="261"/>
      <c r="E33" s="260"/>
      <c r="F33" s="262" t="s">
        <v>398</v>
      </c>
      <c r="G33" s="200" t="s">
        <v>397</v>
      </c>
      <c r="H33" s="201">
        <v>0.7</v>
      </c>
      <c r="I33" s="195"/>
      <c r="J33" s="196"/>
      <c r="K33" s="197"/>
      <c r="L33" s="198">
        <v>407</v>
      </c>
      <c r="M33" s="199"/>
      <c r="S33" s="184" t="s">
        <v>2236</v>
      </c>
    </row>
    <row r="34" spans="1:19" ht="16.5" customHeight="1" x14ac:dyDescent="0.2">
      <c r="A34" s="193">
        <v>16</v>
      </c>
      <c r="B34" s="184">
        <v>4316</v>
      </c>
      <c r="C34" s="210" t="s">
        <v>2040</v>
      </c>
      <c r="D34" s="203">
        <v>582</v>
      </c>
      <c r="E34" s="186" t="s">
        <v>394</v>
      </c>
      <c r="F34" s="263"/>
      <c r="G34" s="189"/>
      <c r="H34" s="190"/>
      <c r="I34" s="195" t="s">
        <v>396</v>
      </c>
      <c r="J34" s="196" t="s">
        <v>397</v>
      </c>
      <c r="K34" s="197">
        <v>1</v>
      </c>
      <c r="L34" s="198">
        <v>407</v>
      </c>
      <c r="M34" s="199"/>
      <c r="S34" s="184" t="s">
        <v>2237</v>
      </c>
    </row>
    <row r="35" spans="1:19" ht="16.5" customHeight="1" x14ac:dyDescent="0.2">
      <c r="A35" s="193">
        <v>16</v>
      </c>
      <c r="B35" s="184">
        <v>4317</v>
      </c>
      <c r="C35" s="210" t="s">
        <v>2041</v>
      </c>
      <c r="D35" s="264" t="s">
        <v>1929</v>
      </c>
      <c r="E35" s="265"/>
      <c r="F35" s="202"/>
      <c r="G35" s="200"/>
      <c r="H35" s="201"/>
      <c r="I35" s="195"/>
      <c r="J35" s="196"/>
      <c r="K35" s="197"/>
      <c r="L35" s="198">
        <v>665</v>
      </c>
      <c r="M35" s="199"/>
      <c r="S35" s="184" t="s">
        <v>2238</v>
      </c>
    </row>
    <row r="36" spans="1:19" ht="16.5" customHeight="1" x14ac:dyDescent="0.2">
      <c r="A36" s="193">
        <v>16</v>
      </c>
      <c r="B36" s="184">
        <v>4318</v>
      </c>
      <c r="C36" s="210" t="s">
        <v>2042</v>
      </c>
      <c r="D36" s="261"/>
      <c r="E36" s="260"/>
      <c r="F36" s="194"/>
      <c r="G36" s="189"/>
      <c r="H36" s="190"/>
      <c r="I36" s="195" t="s">
        <v>396</v>
      </c>
      <c r="J36" s="196" t="s">
        <v>397</v>
      </c>
      <c r="K36" s="197">
        <v>1</v>
      </c>
      <c r="L36" s="198">
        <v>665</v>
      </c>
      <c r="M36" s="199"/>
      <c r="S36" s="184" t="s">
        <v>2239</v>
      </c>
    </row>
    <row r="37" spans="1:19" ht="16.5" customHeight="1" x14ac:dyDescent="0.2">
      <c r="A37" s="193">
        <v>16</v>
      </c>
      <c r="B37" s="184">
        <v>4319</v>
      </c>
      <c r="C37" s="210" t="s">
        <v>2043</v>
      </c>
      <c r="D37" s="261"/>
      <c r="E37" s="260"/>
      <c r="F37" s="262" t="s">
        <v>398</v>
      </c>
      <c r="G37" s="200" t="s">
        <v>397</v>
      </c>
      <c r="H37" s="201">
        <v>0.7</v>
      </c>
      <c r="I37" s="195"/>
      <c r="J37" s="196"/>
      <c r="K37" s="197"/>
      <c r="L37" s="198">
        <v>466</v>
      </c>
      <c r="M37" s="199"/>
      <c r="S37" s="184" t="s">
        <v>2240</v>
      </c>
    </row>
    <row r="38" spans="1:19" ht="16.5" customHeight="1" x14ac:dyDescent="0.2">
      <c r="A38" s="193">
        <v>16</v>
      </c>
      <c r="B38" s="184">
        <v>4320</v>
      </c>
      <c r="C38" s="210" t="s">
        <v>2044</v>
      </c>
      <c r="D38" s="203">
        <v>665</v>
      </c>
      <c r="E38" s="186" t="s">
        <v>394</v>
      </c>
      <c r="F38" s="263"/>
      <c r="G38" s="189"/>
      <c r="H38" s="190"/>
      <c r="I38" s="195" t="s">
        <v>396</v>
      </c>
      <c r="J38" s="196" t="s">
        <v>397</v>
      </c>
      <c r="K38" s="197">
        <v>1</v>
      </c>
      <c r="L38" s="198">
        <v>466</v>
      </c>
      <c r="M38" s="199"/>
      <c r="S38" s="184" t="s">
        <v>2241</v>
      </c>
    </row>
    <row r="39" spans="1:19" ht="16.5" customHeight="1" x14ac:dyDescent="0.2">
      <c r="A39" s="193">
        <v>16</v>
      </c>
      <c r="B39" s="184">
        <v>4321</v>
      </c>
      <c r="C39" s="210" t="s">
        <v>2045</v>
      </c>
      <c r="D39" s="264" t="s">
        <v>1930</v>
      </c>
      <c r="E39" s="265"/>
      <c r="F39" s="202"/>
      <c r="G39" s="200"/>
      <c r="H39" s="201"/>
      <c r="I39" s="195"/>
      <c r="J39" s="196"/>
      <c r="K39" s="197"/>
      <c r="L39" s="198">
        <v>748</v>
      </c>
      <c r="M39" s="199"/>
      <c r="S39" s="184" t="s">
        <v>2242</v>
      </c>
    </row>
    <row r="40" spans="1:19" ht="16.5" customHeight="1" x14ac:dyDescent="0.2">
      <c r="A40" s="193">
        <v>16</v>
      </c>
      <c r="B40" s="184">
        <v>4322</v>
      </c>
      <c r="C40" s="210" t="s">
        <v>2046</v>
      </c>
      <c r="D40" s="261"/>
      <c r="E40" s="260"/>
      <c r="F40" s="194"/>
      <c r="G40" s="189"/>
      <c r="H40" s="190"/>
      <c r="I40" s="195" t="s">
        <v>396</v>
      </c>
      <c r="J40" s="196" t="s">
        <v>397</v>
      </c>
      <c r="K40" s="197">
        <v>1</v>
      </c>
      <c r="L40" s="198">
        <v>748</v>
      </c>
      <c r="M40" s="199"/>
      <c r="S40" s="184" t="s">
        <v>2243</v>
      </c>
    </row>
    <row r="41" spans="1:19" ht="16.5" customHeight="1" x14ac:dyDescent="0.2">
      <c r="A41" s="193">
        <v>16</v>
      </c>
      <c r="B41" s="184">
        <v>4323</v>
      </c>
      <c r="C41" s="210" t="s">
        <v>2047</v>
      </c>
      <c r="D41" s="261"/>
      <c r="E41" s="260"/>
      <c r="F41" s="262" t="s">
        <v>398</v>
      </c>
      <c r="G41" s="200" t="s">
        <v>397</v>
      </c>
      <c r="H41" s="201">
        <v>0.7</v>
      </c>
      <c r="I41" s="195"/>
      <c r="J41" s="196"/>
      <c r="K41" s="197"/>
      <c r="L41" s="198">
        <v>524</v>
      </c>
      <c r="M41" s="199"/>
      <c r="S41" s="184" t="s">
        <v>2244</v>
      </c>
    </row>
    <row r="42" spans="1:19" ht="16.5" customHeight="1" x14ac:dyDescent="0.2">
      <c r="A42" s="193">
        <v>16</v>
      </c>
      <c r="B42" s="184">
        <v>4324</v>
      </c>
      <c r="C42" s="210" t="s">
        <v>2048</v>
      </c>
      <c r="D42" s="204">
        <v>748</v>
      </c>
      <c r="E42" s="189" t="s">
        <v>394</v>
      </c>
      <c r="F42" s="263"/>
      <c r="G42" s="189"/>
      <c r="H42" s="190"/>
      <c r="I42" s="195" t="s">
        <v>396</v>
      </c>
      <c r="J42" s="196" t="s">
        <v>397</v>
      </c>
      <c r="K42" s="197">
        <v>1</v>
      </c>
      <c r="L42" s="198">
        <v>524</v>
      </c>
      <c r="M42" s="199"/>
      <c r="S42" s="184" t="s">
        <v>2245</v>
      </c>
    </row>
    <row r="43" spans="1:19" ht="16.5" customHeight="1" x14ac:dyDescent="0.2">
      <c r="A43" s="193">
        <v>16</v>
      </c>
      <c r="B43" s="184">
        <v>4325</v>
      </c>
      <c r="C43" s="210" t="s">
        <v>2049</v>
      </c>
      <c r="D43" s="264" t="s">
        <v>1931</v>
      </c>
      <c r="E43" s="265"/>
      <c r="F43" s="202"/>
      <c r="G43" s="200"/>
      <c r="H43" s="201"/>
      <c r="I43" s="195"/>
      <c r="J43" s="196"/>
      <c r="K43" s="197"/>
      <c r="L43" s="198">
        <v>831</v>
      </c>
      <c r="M43" s="192"/>
      <c r="S43" s="184" t="s">
        <v>2246</v>
      </c>
    </row>
    <row r="44" spans="1:19" ht="16.5" customHeight="1" x14ac:dyDescent="0.2">
      <c r="A44" s="193">
        <v>16</v>
      </c>
      <c r="B44" s="184">
        <v>4326</v>
      </c>
      <c r="C44" s="210" t="s">
        <v>2050</v>
      </c>
      <c r="D44" s="261"/>
      <c r="E44" s="260"/>
      <c r="F44" s="194"/>
      <c r="G44" s="189"/>
      <c r="H44" s="190"/>
      <c r="I44" s="195" t="s">
        <v>396</v>
      </c>
      <c r="J44" s="196" t="s">
        <v>397</v>
      </c>
      <c r="K44" s="197">
        <v>1</v>
      </c>
      <c r="L44" s="198">
        <v>831</v>
      </c>
      <c r="M44" s="199"/>
      <c r="S44" s="184" t="s">
        <v>2247</v>
      </c>
    </row>
    <row r="45" spans="1:19" ht="16.5" customHeight="1" x14ac:dyDescent="0.2">
      <c r="A45" s="193">
        <v>16</v>
      </c>
      <c r="B45" s="184">
        <v>4327</v>
      </c>
      <c r="C45" s="210" t="s">
        <v>2051</v>
      </c>
      <c r="D45" s="261"/>
      <c r="E45" s="260"/>
      <c r="F45" s="262" t="s">
        <v>398</v>
      </c>
      <c r="G45" s="200" t="s">
        <v>397</v>
      </c>
      <c r="H45" s="201">
        <v>0.7</v>
      </c>
      <c r="I45" s="195"/>
      <c r="J45" s="196"/>
      <c r="K45" s="197"/>
      <c r="L45" s="198">
        <v>582</v>
      </c>
      <c r="M45" s="199"/>
      <c r="S45" s="184" t="s">
        <v>2248</v>
      </c>
    </row>
    <row r="46" spans="1:19" ht="16.5" customHeight="1" x14ac:dyDescent="0.2">
      <c r="A46" s="193">
        <v>16</v>
      </c>
      <c r="B46" s="184">
        <v>4328</v>
      </c>
      <c r="C46" s="210" t="s">
        <v>2052</v>
      </c>
      <c r="D46" s="203">
        <v>831</v>
      </c>
      <c r="E46" s="186" t="s">
        <v>394</v>
      </c>
      <c r="F46" s="263"/>
      <c r="G46" s="189"/>
      <c r="H46" s="190"/>
      <c r="I46" s="195" t="s">
        <v>396</v>
      </c>
      <c r="J46" s="196" t="s">
        <v>397</v>
      </c>
      <c r="K46" s="197">
        <v>1</v>
      </c>
      <c r="L46" s="198">
        <v>582</v>
      </c>
      <c r="M46" s="199"/>
      <c r="S46" s="184" t="s">
        <v>2249</v>
      </c>
    </row>
    <row r="47" spans="1:19" ht="16.5" customHeight="1" x14ac:dyDescent="0.2">
      <c r="A47" s="193">
        <v>16</v>
      </c>
      <c r="B47" s="184">
        <v>4329</v>
      </c>
      <c r="C47" s="210" t="s">
        <v>2053</v>
      </c>
      <c r="D47" s="264" t="s">
        <v>1932</v>
      </c>
      <c r="E47" s="265"/>
      <c r="F47" s="202"/>
      <c r="G47" s="200"/>
      <c r="H47" s="201"/>
      <c r="I47" s="195"/>
      <c r="J47" s="196"/>
      <c r="K47" s="197"/>
      <c r="L47" s="198">
        <v>914</v>
      </c>
      <c r="M47" s="199"/>
      <c r="S47" s="184" t="s">
        <v>2250</v>
      </c>
    </row>
    <row r="48" spans="1:19" ht="16.5" customHeight="1" x14ac:dyDescent="0.2">
      <c r="A48" s="193">
        <v>16</v>
      </c>
      <c r="B48" s="184">
        <v>4330</v>
      </c>
      <c r="C48" s="210" t="s">
        <v>2054</v>
      </c>
      <c r="D48" s="261"/>
      <c r="E48" s="260"/>
      <c r="F48" s="194"/>
      <c r="G48" s="189"/>
      <c r="H48" s="190"/>
      <c r="I48" s="195" t="s">
        <v>396</v>
      </c>
      <c r="J48" s="196" t="s">
        <v>397</v>
      </c>
      <c r="K48" s="197">
        <v>1</v>
      </c>
      <c r="L48" s="198">
        <v>914</v>
      </c>
      <c r="M48" s="199"/>
      <c r="S48" s="184" t="s">
        <v>2251</v>
      </c>
    </row>
    <row r="49" spans="1:19" ht="16.5" customHeight="1" x14ac:dyDescent="0.2">
      <c r="A49" s="193">
        <v>16</v>
      </c>
      <c r="B49" s="184">
        <v>4331</v>
      </c>
      <c r="C49" s="210" t="s">
        <v>2055</v>
      </c>
      <c r="D49" s="261"/>
      <c r="E49" s="260"/>
      <c r="F49" s="262" t="s">
        <v>398</v>
      </c>
      <c r="G49" s="200" t="s">
        <v>397</v>
      </c>
      <c r="H49" s="201">
        <v>0.7</v>
      </c>
      <c r="I49" s="195"/>
      <c r="J49" s="196"/>
      <c r="K49" s="197"/>
      <c r="L49" s="198">
        <v>640</v>
      </c>
      <c r="M49" s="199"/>
      <c r="S49" s="184" t="s">
        <v>2252</v>
      </c>
    </row>
    <row r="50" spans="1:19" ht="16.5" customHeight="1" x14ac:dyDescent="0.2">
      <c r="A50" s="193">
        <v>16</v>
      </c>
      <c r="B50" s="184">
        <v>4332</v>
      </c>
      <c r="C50" s="210" t="s">
        <v>2056</v>
      </c>
      <c r="D50" s="203">
        <v>914</v>
      </c>
      <c r="E50" s="186" t="s">
        <v>394</v>
      </c>
      <c r="F50" s="263"/>
      <c r="G50" s="189"/>
      <c r="H50" s="190"/>
      <c r="I50" s="195" t="s">
        <v>396</v>
      </c>
      <c r="J50" s="196" t="s">
        <v>397</v>
      </c>
      <c r="K50" s="197">
        <v>1</v>
      </c>
      <c r="L50" s="198">
        <v>640</v>
      </c>
      <c r="M50" s="199"/>
      <c r="S50" s="184" t="s">
        <v>2253</v>
      </c>
    </row>
    <row r="51" spans="1:19" ht="16.5" customHeight="1" x14ac:dyDescent="0.2">
      <c r="A51" s="193">
        <v>16</v>
      </c>
      <c r="B51" s="184">
        <v>4333</v>
      </c>
      <c r="C51" s="210" t="s">
        <v>2057</v>
      </c>
      <c r="D51" s="264" t="s">
        <v>1933</v>
      </c>
      <c r="E51" s="265"/>
      <c r="F51" s="202"/>
      <c r="G51" s="200"/>
      <c r="H51" s="201"/>
      <c r="I51" s="195"/>
      <c r="J51" s="196"/>
      <c r="K51" s="197"/>
      <c r="L51" s="198">
        <v>997</v>
      </c>
      <c r="M51" s="199"/>
      <c r="S51" s="184" t="s">
        <v>2254</v>
      </c>
    </row>
    <row r="52" spans="1:19" ht="16.5" customHeight="1" x14ac:dyDescent="0.2">
      <c r="A52" s="193">
        <v>16</v>
      </c>
      <c r="B52" s="184">
        <v>4334</v>
      </c>
      <c r="C52" s="210" t="s">
        <v>2058</v>
      </c>
      <c r="D52" s="261"/>
      <c r="E52" s="260"/>
      <c r="F52" s="194"/>
      <c r="G52" s="189"/>
      <c r="H52" s="190"/>
      <c r="I52" s="195" t="s">
        <v>396</v>
      </c>
      <c r="J52" s="196" t="s">
        <v>397</v>
      </c>
      <c r="K52" s="197">
        <v>1</v>
      </c>
      <c r="L52" s="198">
        <v>997</v>
      </c>
      <c r="M52" s="199"/>
      <c r="S52" s="184" t="s">
        <v>2255</v>
      </c>
    </row>
    <row r="53" spans="1:19" ht="16.5" customHeight="1" x14ac:dyDescent="0.2">
      <c r="A53" s="193">
        <v>16</v>
      </c>
      <c r="B53" s="184">
        <v>4335</v>
      </c>
      <c r="C53" s="210" t="s">
        <v>2059</v>
      </c>
      <c r="D53" s="261"/>
      <c r="E53" s="260"/>
      <c r="F53" s="262" t="s">
        <v>398</v>
      </c>
      <c r="G53" s="200" t="s">
        <v>397</v>
      </c>
      <c r="H53" s="201">
        <v>0.7</v>
      </c>
      <c r="I53" s="195"/>
      <c r="J53" s="196"/>
      <c r="K53" s="197"/>
      <c r="L53" s="198">
        <v>698</v>
      </c>
      <c r="M53" s="199"/>
      <c r="S53" s="184" t="s">
        <v>2256</v>
      </c>
    </row>
    <row r="54" spans="1:19" ht="16.5" customHeight="1" x14ac:dyDescent="0.2">
      <c r="A54" s="193">
        <v>16</v>
      </c>
      <c r="B54" s="184">
        <v>4336</v>
      </c>
      <c r="C54" s="210" t="s">
        <v>2060</v>
      </c>
      <c r="D54" s="203">
        <v>997</v>
      </c>
      <c r="E54" s="186" t="s">
        <v>394</v>
      </c>
      <c r="F54" s="263"/>
      <c r="G54" s="189"/>
      <c r="H54" s="190"/>
      <c r="I54" s="195" t="s">
        <v>396</v>
      </c>
      <c r="J54" s="196" t="s">
        <v>397</v>
      </c>
      <c r="K54" s="197">
        <v>1</v>
      </c>
      <c r="L54" s="198">
        <v>698</v>
      </c>
      <c r="M54" s="199"/>
      <c r="S54" s="184" t="s">
        <v>2257</v>
      </c>
    </row>
    <row r="55" spans="1:19" ht="16.5" customHeight="1" x14ac:dyDescent="0.2">
      <c r="A55" s="193">
        <v>16</v>
      </c>
      <c r="B55" s="184">
        <v>4337</v>
      </c>
      <c r="C55" s="210" t="s">
        <v>2061</v>
      </c>
      <c r="D55" s="264" t="s">
        <v>1934</v>
      </c>
      <c r="E55" s="265"/>
      <c r="F55" s="202"/>
      <c r="G55" s="200"/>
      <c r="H55" s="201"/>
      <c r="I55" s="195"/>
      <c r="J55" s="196"/>
      <c r="K55" s="197"/>
      <c r="L55" s="198">
        <v>1080</v>
      </c>
      <c r="M55" s="199"/>
      <c r="S55" s="184" t="s">
        <v>2258</v>
      </c>
    </row>
    <row r="56" spans="1:19" ht="16.5" customHeight="1" x14ac:dyDescent="0.2">
      <c r="A56" s="193">
        <v>16</v>
      </c>
      <c r="B56" s="184">
        <v>4338</v>
      </c>
      <c r="C56" s="210" t="s">
        <v>2062</v>
      </c>
      <c r="D56" s="261"/>
      <c r="E56" s="260"/>
      <c r="F56" s="194"/>
      <c r="G56" s="189"/>
      <c r="H56" s="190"/>
      <c r="I56" s="195" t="s">
        <v>396</v>
      </c>
      <c r="J56" s="196" t="s">
        <v>397</v>
      </c>
      <c r="K56" s="197">
        <v>1</v>
      </c>
      <c r="L56" s="198">
        <v>1080</v>
      </c>
      <c r="M56" s="199"/>
      <c r="S56" s="184" t="s">
        <v>2259</v>
      </c>
    </row>
    <row r="57" spans="1:19" ht="16.5" customHeight="1" x14ac:dyDescent="0.2">
      <c r="A57" s="193">
        <v>16</v>
      </c>
      <c r="B57" s="184">
        <v>4339</v>
      </c>
      <c r="C57" s="210" t="s">
        <v>2063</v>
      </c>
      <c r="D57" s="261"/>
      <c r="E57" s="260"/>
      <c r="F57" s="262" t="s">
        <v>398</v>
      </c>
      <c r="G57" s="200" t="s">
        <v>397</v>
      </c>
      <c r="H57" s="201">
        <v>0.7</v>
      </c>
      <c r="I57" s="195"/>
      <c r="J57" s="196"/>
      <c r="K57" s="197"/>
      <c r="L57" s="198">
        <v>756</v>
      </c>
      <c r="M57" s="199"/>
      <c r="S57" s="184" t="s">
        <v>2260</v>
      </c>
    </row>
    <row r="58" spans="1:19" ht="16.5" customHeight="1" x14ac:dyDescent="0.2">
      <c r="A58" s="193">
        <v>16</v>
      </c>
      <c r="B58" s="184">
        <v>4340</v>
      </c>
      <c r="C58" s="210" t="s">
        <v>2064</v>
      </c>
      <c r="D58" s="203">
        <v>1080</v>
      </c>
      <c r="E58" s="186" t="s">
        <v>394</v>
      </c>
      <c r="F58" s="263"/>
      <c r="G58" s="189"/>
      <c r="H58" s="190"/>
      <c r="I58" s="195" t="s">
        <v>396</v>
      </c>
      <c r="J58" s="196" t="s">
        <v>397</v>
      </c>
      <c r="K58" s="197">
        <v>1</v>
      </c>
      <c r="L58" s="198">
        <v>756</v>
      </c>
      <c r="M58" s="199"/>
      <c r="S58" s="184" t="s">
        <v>2261</v>
      </c>
    </row>
    <row r="59" spans="1:19" ht="16.5" customHeight="1" x14ac:dyDescent="0.2">
      <c r="A59" s="193">
        <v>16</v>
      </c>
      <c r="B59" s="184">
        <v>4341</v>
      </c>
      <c r="C59" s="210" t="s">
        <v>2065</v>
      </c>
      <c r="D59" s="264" t="s">
        <v>1935</v>
      </c>
      <c r="E59" s="265"/>
      <c r="F59" s="202"/>
      <c r="G59" s="200"/>
      <c r="H59" s="201"/>
      <c r="I59" s="195"/>
      <c r="J59" s="196"/>
      <c r="K59" s="197"/>
      <c r="L59" s="198">
        <v>1163</v>
      </c>
      <c r="M59" s="199"/>
      <c r="S59" s="184" t="s">
        <v>2262</v>
      </c>
    </row>
    <row r="60" spans="1:19" ht="16.5" customHeight="1" x14ac:dyDescent="0.2">
      <c r="A60" s="193">
        <v>16</v>
      </c>
      <c r="B60" s="184">
        <v>4342</v>
      </c>
      <c r="C60" s="210" t="s">
        <v>2066</v>
      </c>
      <c r="D60" s="261"/>
      <c r="E60" s="260"/>
      <c r="F60" s="194"/>
      <c r="G60" s="189"/>
      <c r="H60" s="190"/>
      <c r="I60" s="195" t="s">
        <v>396</v>
      </c>
      <c r="J60" s="196" t="s">
        <v>397</v>
      </c>
      <c r="K60" s="197">
        <v>1</v>
      </c>
      <c r="L60" s="198">
        <v>1163</v>
      </c>
      <c r="M60" s="199"/>
      <c r="S60" s="184" t="s">
        <v>2263</v>
      </c>
    </row>
    <row r="61" spans="1:19" ht="16.5" customHeight="1" x14ac:dyDescent="0.2">
      <c r="A61" s="193">
        <v>16</v>
      </c>
      <c r="B61" s="184">
        <v>4343</v>
      </c>
      <c r="C61" s="210" t="s">
        <v>2067</v>
      </c>
      <c r="D61" s="261"/>
      <c r="E61" s="260"/>
      <c r="F61" s="262" t="s">
        <v>398</v>
      </c>
      <c r="G61" s="200" t="s">
        <v>397</v>
      </c>
      <c r="H61" s="201">
        <v>0.7</v>
      </c>
      <c r="I61" s="195"/>
      <c r="J61" s="196"/>
      <c r="K61" s="197"/>
      <c r="L61" s="198">
        <v>814</v>
      </c>
      <c r="M61" s="199"/>
      <c r="S61" s="184" t="s">
        <v>2264</v>
      </c>
    </row>
    <row r="62" spans="1:19" ht="16.5" customHeight="1" x14ac:dyDescent="0.2">
      <c r="A62" s="193">
        <v>16</v>
      </c>
      <c r="B62" s="184">
        <v>4344</v>
      </c>
      <c r="C62" s="210" t="s">
        <v>2068</v>
      </c>
      <c r="D62" s="203">
        <v>1163</v>
      </c>
      <c r="E62" s="186" t="s">
        <v>394</v>
      </c>
      <c r="F62" s="263"/>
      <c r="G62" s="189"/>
      <c r="H62" s="190"/>
      <c r="I62" s="195" t="s">
        <v>396</v>
      </c>
      <c r="J62" s="196" t="s">
        <v>397</v>
      </c>
      <c r="K62" s="197">
        <v>1</v>
      </c>
      <c r="L62" s="198">
        <v>814</v>
      </c>
      <c r="M62" s="199"/>
      <c r="S62" s="184" t="s">
        <v>2265</v>
      </c>
    </row>
    <row r="63" spans="1:19" ht="16.5" customHeight="1" x14ac:dyDescent="0.2">
      <c r="A63" s="193">
        <v>16</v>
      </c>
      <c r="B63" s="184">
        <v>4345</v>
      </c>
      <c r="C63" s="210" t="s">
        <v>2069</v>
      </c>
      <c r="D63" s="264" t="s">
        <v>1936</v>
      </c>
      <c r="E63" s="265"/>
      <c r="F63" s="202"/>
      <c r="G63" s="200"/>
      <c r="H63" s="201"/>
      <c r="I63" s="195"/>
      <c r="J63" s="196"/>
      <c r="K63" s="197"/>
      <c r="L63" s="198">
        <v>1246</v>
      </c>
      <c r="M63" s="199"/>
      <c r="S63" s="184" t="s">
        <v>2266</v>
      </c>
    </row>
    <row r="64" spans="1:19" ht="16.5" customHeight="1" x14ac:dyDescent="0.2">
      <c r="A64" s="193">
        <v>16</v>
      </c>
      <c r="B64" s="184">
        <v>4346</v>
      </c>
      <c r="C64" s="210" t="s">
        <v>2070</v>
      </c>
      <c r="D64" s="261"/>
      <c r="E64" s="260"/>
      <c r="F64" s="194"/>
      <c r="G64" s="189"/>
      <c r="H64" s="190"/>
      <c r="I64" s="195" t="s">
        <v>396</v>
      </c>
      <c r="J64" s="196" t="s">
        <v>397</v>
      </c>
      <c r="K64" s="197">
        <v>1</v>
      </c>
      <c r="L64" s="198">
        <v>1246</v>
      </c>
      <c r="M64" s="199"/>
      <c r="S64" s="184" t="s">
        <v>2267</v>
      </c>
    </row>
    <row r="65" spans="1:19" ht="16.5" customHeight="1" x14ac:dyDescent="0.2">
      <c r="A65" s="193">
        <v>16</v>
      </c>
      <c r="B65" s="184">
        <v>4347</v>
      </c>
      <c r="C65" s="210" t="s">
        <v>2071</v>
      </c>
      <c r="D65" s="261"/>
      <c r="E65" s="260"/>
      <c r="F65" s="262" t="s">
        <v>398</v>
      </c>
      <c r="G65" s="200" t="s">
        <v>397</v>
      </c>
      <c r="H65" s="201">
        <v>0.7</v>
      </c>
      <c r="I65" s="195"/>
      <c r="J65" s="196"/>
      <c r="K65" s="197"/>
      <c r="L65" s="198">
        <v>872</v>
      </c>
      <c r="M65" s="199"/>
      <c r="S65" s="184" t="s">
        <v>2268</v>
      </c>
    </row>
    <row r="66" spans="1:19" ht="16.5" customHeight="1" x14ac:dyDescent="0.2">
      <c r="A66" s="193">
        <v>16</v>
      </c>
      <c r="B66" s="184">
        <v>4348</v>
      </c>
      <c r="C66" s="210" t="s">
        <v>2072</v>
      </c>
      <c r="D66" s="204">
        <v>1246</v>
      </c>
      <c r="E66" s="189" t="s">
        <v>394</v>
      </c>
      <c r="F66" s="263"/>
      <c r="G66" s="189"/>
      <c r="H66" s="190"/>
      <c r="I66" s="195" t="s">
        <v>396</v>
      </c>
      <c r="J66" s="196" t="s">
        <v>397</v>
      </c>
      <c r="K66" s="197">
        <v>1</v>
      </c>
      <c r="L66" s="198">
        <v>872</v>
      </c>
      <c r="M66" s="205"/>
      <c r="S66" s="184" t="s">
        <v>2269</v>
      </c>
    </row>
    <row r="67" spans="1:19" ht="16.5" customHeight="1" x14ac:dyDescent="0.2">
      <c r="A67" s="193">
        <v>16</v>
      </c>
      <c r="B67" s="193">
        <v>4349</v>
      </c>
      <c r="C67" s="210" t="s">
        <v>2073</v>
      </c>
      <c r="D67" s="264" t="s">
        <v>1937</v>
      </c>
      <c r="E67" s="265"/>
      <c r="F67" s="202"/>
      <c r="G67" s="200"/>
      <c r="H67" s="201"/>
      <c r="I67" s="195"/>
      <c r="J67" s="196"/>
      <c r="K67" s="197"/>
      <c r="L67" s="198">
        <v>1329</v>
      </c>
      <c r="M67" s="206" t="s">
        <v>395</v>
      </c>
      <c r="S67" s="193" t="s">
        <v>2270</v>
      </c>
    </row>
    <row r="68" spans="1:19" ht="16.5" customHeight="1" x14ac:dyDescent="0.2">
      <c r="A68" s="193">
        <v>16</v>
      </c>
      <c r="B68" s="184">
        <v>4350</v>
      </c>
      <c r="C68" s="210" t="s">
        <v>2074</v>
      </c>
      <c r="D68" s="261"/>
      <c r="E68" s="260"/>
      <c r="F68" s="194"/>
      <c r="G68" s="189"/>
      <c r="H68" s="190"/>
      <c r="I68" s="195" t="s">
        <v>396</v>
      </c>
      <c r="J68" s="196" t="s">
        <v>397</v>
      </c>
      <c r="K68" s="197">
        <v>1</v>
      </c>
      <c r="L68" s="198">
        <v>1329</v>
      </c>
      <c r="M68" s="199"/>
      <c r="S68" s="184" t="s">
        <v>2271</v>
      </c>
    </row>
    <row r="69" spans="1:19" ht="16.5" customHeight="1" x14ac:dyDescent="0.2">
      <c r="A69" s="193">
        <v>16</v>
      </c>
      <c r="B69" s="184">
        <v>4351</v>
      </c>
      <c r="C69" s="210" t="s">
        <v>2075</v>
      </c>
      <c r="D69" s="261"/>
      <c r="E69" s="260"/>
      <c r="F69" s="262" t="s">
        <v>398</v>
      </c>
      <c r="G69" s="200" t="s">
        <v>397</v>
      </c>
      <c r="H69" s="201">
        <v>0.7</v>
      </c>
      <c r="I69" s="195"/>
      <c r="J69" s="196"/>
      <c r="K69" s="197"/>
      <c r="L69" s="198">
        <v>930</v>
      </c>
      <c r="M69" s="199"/>
      <c r="S69" s="184" t="s">
        <v>2272</v>
      </c>
    </row>
    <row r="70" spans="1:19" ht="16.5" customHeight="1" x14ac:dyDescent="0.2">
      <c r="A70" s="193">
        <v>16</v>
      </c>
      <c r="B70" s="184">
        <v>4352</v>
      </c>
      <c r="C70" s="210" t="s">
        <v>2076</v>
      </c>
      <c r="D70" s="203">
        <v>1329</v>
      </c>
      <c r="E70" s="186" t="s">
        <v>394</v>
      </c>
      <c r="F70" s="263"/>
      <c r="G70" s="189"/>
      <c r="H70" s="190"/>
      <c r="I70" s="195" t="s">
        <v>396</v>
      </c>
      <c r="J70" s="196" t="s">
        <v>397</v>
      </c>
      <c r="K70" s="197">
        <v>1</v>
      </c>
      <c r="L70" s="198">
        <v>930</v>
      </c>
      <c r="M70" s="199"/>
      <c r="S70" s="184" t="s">
        <v>2273</v>
      </c>
    </row>
    <row r="71" spans="1:19" ht="16.5" customHeight="1" x14ac:dyDescent="0.2">
      <c r="A71" s="193">
        <v>16</v>
      </c>
      <c r="B71" s="184">
        <v>4353</v>
      </c>
      <c r="C71" s="210" t="s">
        <v>2077</v>
      </c>
      <c r="D71" s="264" t="s">
        <v>1938</v>
      </c>
      <c r="E71" s="265"/>
      <c r="F71" s="202"/>
      <c r="G71" s="200"/>
      <c r="H71" s="201"/>
      <c r="I71" s="195"/>
      <c r="J71" s="196"/>
      <c r="K71" s="197"/>
      <c r="L71" s="198">
        <v>1412</v>
      </c>
      <c r="M71" s="199"/>
      <c r="S71" s="184" t="s">
        <v>2274</v>
      </c>
    </row>
    <row r="72" spans="1:19" ht="16.5" customHeight="1" x14ac:dyDescent="0.2">
      <c r="A72" s="193">
        <v>16</v>
      </c>
      <c r="B72" s="184">
        <v>4354</v>
      </c>
      <c r="C72" s="210" t="s">
        <v>2078</v>
      </c>
      <c r="D72" s="261"/>
      <c r="E72" s="260"/>
      <c r="F72" s="194"/>
      <c r="G72" s="189"/>
      <c r="H72" s="190"/>
      <c r="I72" s="195" t="s">
        <v>396</v>
      </c>
      <c r="J72" s="196" t="s">
        <v>397</v>
      </c>
      <c r="K72" s="197">
        <v>1</v>
      </c>
      <c r="L72" s="198">
        <v>1412</v>
      </c>
      <c r="M72" s="199"/>
      <c r="S72" s="184" t="s">
        <v>2275</v>
      </c>
    </row>
    <row r="73" spans="1:19" ht="16.5" customHeight="1" x14ac:dyDescent="0.2">
      <c r="A73" s="193">
        <v>16</v>
      </c>
      <c r="B73" s="184">
        <v>4355</v>
      </c>
      <c r="C73" s="210" t="s">
        <v>2079</v>
      </c>
      <c r="D73" s="261"/>
      <c r="E73" s="260"/>
      <c r="F73" s="262" t="s">
        <v>398</v>
      </c>
      <c r="G73" s="200" t="s">
        <v>397</v>
      </c>
      <c r="H73" s="201">
        <v>0.7</v>
      </c>
      <c r="I73" s="195"/>
      <c r="J73" s="196"/>
      <c r="K73" s="197"/>
      <c r="L73" s="198">
        <v>988</v>
      </c>
      <c r="M73" s="199"/>
      <c r="S73" s="184" t="s">
        <v>2276</v>
      </c>
    </row>
    <row r="74" spans="1:19" ht="16.5" customHeight="1" x14ac:dyDescent="0.2">
      <c r="A74" s="193">
        <v>16</v>
      </c>
      <c r="B74" s="184">
        <v>4356</v>
      </c>
      <c r="C74" s="210" t="s">
        <v>2080</v>
      </c>
      <c r="D74" s="203">
        <v>1412</v>
      </c>
      <c r="E74" s="186" t="s">
        <v>394</v>
      </c>
      <c r="F74" s="263"/>
      <c r="G74" s="189"/>
      <c r="H74" s="190"/>
      <c r="I74" s="195" t="s">
        <v>396</v>
      </c>
      <c r="J74" s="196" t="s">
        <v>397</v>
      </c>
      <c r="K74" s="197">
        <v>1</v>
      </c>
      <c r="L74" s="198">
        <v>988</v>
      </c>
      <c r="M74" s="199"/>
      <c r="S74" s="184" t="s">
        <v>2277</v>
      </c>
    </row>
    <row r="75" spans="1:19" ht="16.5" customHeight="1" x14ac:dyDescent="0.2">
      <c r="A75" s="193">
        <v>16</v>
      </c>
      <c r="B75" s="184">
        <v>4357</v>
      </c>
      <c r="C75" s="210" t="s">
        <v>2081</v>
      </c>
      <c r="D75" s="264" t="s">
        <v>1939</v>
      </c>
      <c r="E75" s="265"/>
      <c r="F75" s="202"/>
      <c r="G75" s="200"/>
      <c r="H75" s="201"/>
      <c r="I75" s="195"/>
      <c r="J75" s="196"/>
      <c r="K75" s="197"/>
      <c r="L75" s="198">
        <v>1495</v>
      </c>
      <c r="M75" s="199"/>
      <c r="S75" s="184" t="s">
        <v>2278</v>
      </c>
    </row>
    <row r="76" spans="1:19" ht="16.5" customHeight="1" x14ac:dyDescent="0.2">
      <c r="A76" s="193">
        <v>16</v>
      </c>
      <c r="B76" s="184">
        <v>4358</v>
      </c>
      <c r="C76" s="210" t="s">
        <v>2082</v>
      </c>
      <c r="D76" s="261"/>
      <c r="E76" s="260"/>
      <c r="F76" s="194"/>
      <c r="G76" s="189"/>
      <c r="H76" s="190"/>
      <c r="I76" s="195" t="s">
        <v>396</v>
      </c>
      <c r="J76" s="196" t="s">
        <v>397</v>
      </c>
      <c r="K76" s="197">
        <v>1</v>
      </c>
      <c r="L76" s="198">
        <v>1495</v>
      </c>
      <c r="M76" s="199"/>
      <c r="S76" s="184" t="s">
        <v>2279</v>
      </c>
    </row>
    <row r="77" spans="1:19" ht="16.5" customHeight="1" x14ac:dyDescent="0.2">
      <c r="A77" s="193">
        <v>16</v>
      </c>
      <c r="B77" s="184">
        <v>4359</v>
      </c>
      <c r="C77" s="210" t="s">
        <v>2083</v>
      </c>
      <c r="D77" s="261"/>
      <c r="E77" s="260"/>
      <c r="F77" s="262" t="s">
        <v>398</v>
      </c>
      <c r="G77" s="200" t="s">
        <v>397</v>
      </c>
      <c r="H77" s="201">
        <v>0.7</v>
      </c>
      <c r="I77" s="195"/>
      <c r="J77" s="196"/>
      <c r="K77" s="197"/>
      <c r="L77" s="198">
        <v>1047</v>
      </c>
      <c r="M77" s="199"/>
      <c r="S77" s="184" t="s">
        <v>2280</v>
      </c>
    </row>
    <row r="78" spans="1:19" ht="16.5" customHeight="1" x14ac:dyDescent="0.2">
      <c r="A78" s="193">
        <v>16</v>
      </c>
      <c r="B78" s="184">
        <v>4360</v>
      </c>
      <c r="C78" s="210" t="s">
        <v>2084</v>
      </c>
      <c r="D78" s="204">
        <v>1495</v>
      </c>
      <c r="E78" s="189" t="s">
        <v>394</v>
      </c>
      <c r="F78" s="263"/>
      <c r="G78" s="189"/>
      <c r="H78" s="190"/>
      <c r="I78" s="195" t="s">
        <v>396</v>
      </c>
      <c r="J78" s="196" t="s">
        <v>397</v>
      </c>
      <c r="K78" s="197">
        <v>1</v>
      </c>
      <c r="L78" s="198">
        <v>1047</v>
      </c>
      <c r="M78" s="199"/>
      <c r="S78" s="184" t="s">
        <v>2281</v>
      </c>
    </row>
    <row r="79" spans="1:19" ht="16.5" customHeight="1" x14ac:dyDescent="0.2">
      <c r="A79" s="184">
        <v>16</v>
      </c>
      <c r="B79" s="184">
        <v>4361</v>
      </c>
      <c r="C79" s="207" t="s">
        <v>2085</v>
      </c>
      <c r="D79" s="259" t="s">
        <v>1940</v>
      </c>
      <c r="E79" s="260"/>
      <c r="F79" s="185"/>
      <c r="G79" s="186"/>
      <c r="H79" s="187"/>
      <c r="I79" s="188"/>
      <c r="J79" s="189"/>
      <c r="K79" s="190"/>
      <c r="L79" s="191">
        <v>1578</v>
      </c>
      <c r="M79" s="192"/>
      <c r="S79" s="184" t="s">
        <v>2282</v>
      </c>
    </row>
    <row r="80" spans="1:19" ht="16.5" customHeight="1" x14ac:dyDescent="0.2">
      <c r="A80" s="193">
        <v>16</v>
      </c>
      <c r="B80" s="184">
        <v>4362</v>
      </c>
      <c r="C80" s="210" t="s">
        <v>2086</v>
      </c>
      <c r="D80" s="261"/>
      <c r="E80" s="260"/>
      <c r="F80" s="194"/>
      <c r="G80" s="189"/>
      <c r="H80" s="190"/>
      <c r="I80" s="195" t="s">
        <v>396</v>
      </c>
      <c r="J80" s="196" t="s">
        <v>397</v>
      </c>
      <c r="K80" s="197">
        <v>1</v>
      </c>
      <c r="L80" s="198">
        <v>1578</v>
      </c>
      <c r="M80" s="199"/>
      <c r="S80" s="184" t="s">
        <v>2283</v>
      </c>
    </row>
    <row r="81" spans="1:19" ht="16.5" customHeight="1" x14ac:dyDescent="0.2">
      <c r="A81" s="193">
        <v>16</v>
      </c>
      <c r="B81" s="184">
        <v>4363</v>
      </c>
      <c r="C81" s="210" t="s">
        <v>2087</v>
      </c>
      <c r="D81" s="261"/>
      <c r="E81" s="260"/>
      <c r="F81" s="262" t="s">
        <v>398</v>
      </c>
      <c r="G81" s="200" t="s">
        <v>397</v>
      </c>
      <c r="H81" s="201">
        <v>0.7</v>
      </c>
      <c r="I81" s="195"/>
      <c r="J81" s="196"/>
      <c r="K81" s="197"/>
      <c r="L81" s="198">
        <v>1105</v>
      </c>
      <c r="M81" s="199"/>
      <c r="S81" s="184" t="s">
        <v>2284</v>
      </c>
    </row>
    <row r="82" spans="1:19" ht="16.5" customHeight="1" x14ac:dyDescent="0.2">
      <c r="A82" s="193">
        <v>16</v>
      </c>
      <c r="B82" s="184">
        <v>4364</v>
      </c>
      <c r="C82" s="210" t="s">
        <v>2088</v>
      </c>
      <c r="D82" s="203">
        <v>1578</v>
      </c>
      <c r="E82" s="186" t="s">
        <v>394</v>
      </c>
      <c r="F82" s="263"/>
      <c r="G82" s="189"/>
      <c r="H82" s="190"/>
      <c r="I82" s="195" t="s">
        <v>396</v>
      </c>
      <c r="J82" s="196" t="s">
        <v>397</v>
      </c>
      <c r="K82" s="197">
        <v>1</v>
      </c>
      <c r="L82" s="198">
        <v>1105</v>
      </c>
      <c r="M82" s="199"/>
      <c r="S82" s="184" t="s">
        <v>2285</v>
      </c>
    </row>
    <row r="83" spans="1:19" ht="16.5" customHeight="1" x14ac:dyDescent="0.2">
      <c r="A83" s="193">
        <v>16</v>
      </c>
      <c r="B83" s="184">
        <v>4365</v>
      </c>
      <c r="C83" s="210" t="s">
        <v>2089</v>
      </c>
      <c r="D83" s="264" t="s">
        <v>1941</v>
      </c>
      <c r="E83" s="265"/>
      <c r="F83" s="202"/>
      <c r="G83" s="200"/>
      <c r="H83" s="201"/>
      <c r="I83" s="195"/>
      <c r="J83" s="196"/>
      <c r="K83" s="197"/>
      <c r="L83" s="198">
        <v>1661</v>
      </c>
      <c r="M83" s="199"/>
      <c r="S83" s="184" t="s">
        <v>2286</v>
      </c>
    </row>
    <row r="84" spans="1:19" ht="16.5" customHeight="1" x14ac:dyDescent="0.2">
      <c r="A84" s="193">
        <v>16</v>
      </c>
      <c r="B84" s="184">
        <v>4366</v>
      </c>
      <c r="C84" s="210" t="s">
        <v>2090</v>
      </c>
      <c r="D84" s="261"/>
      <c r="E84" s="260"/>
      <c r="F84" s="194"/>
      <c r="G84" s="189"/>
      <c r="H84" s="190"/>
      <c r="I84" s="195" t="s">
        <v>396</v>
      </c>
      <c r="J84" s="196" t="s">
        <v>397</v>
      </c>
      <c r="K84" s="197">
        <v>1</v>
      </c>
      <c r="L84" s="198">
        <v>1661</v>
      </c>
      <c r="M84" s="199"/>
      <c r="S84" s="184" t="s">
        <v>2287</v>
      </c>
    </row>
    <row r="85" spans="1:19" ht="16.5" customHeight="1" x14ac:dyDescent="0.2">
      <c r="A85" s="193">
        <v>16</v>
      </c>
      <c r="B85" s="184">
        <v>4367</v>
      </c>
      <c r="C85" s="210" t="s">
        <v>2091</v>
      </c>
      <c r="D85" s="261"/>
      <c r="E85" s="260"/>
      <c r="F85" s="262" t="s">
        <v>398</v>
      </c>
      <c r="G85" s="200" t="s">
        <v>397</v>
      </c>
      <c r="H85" s="201">
        <v>0.7</v>
      </c>
      <c r="I85" s="195"/>
      <c r="J85" s="196"/>
      <c r="K85" s="197"/>
      <c r="L85" s="198">
        <v>1163</v>
      </c>
      <c r="M85" s="199"/>
      <c r="S85" s="184" t="s">
        <v>2288</v>
      </c>
    </row>
    <row r="86" spans="1:19" ht="16.5" customHeight="1" x14ac:dyDescent="0.2">
      <c r="A86" s="193">
        <v>16</v>
      </c>
      <c r="B86" s="184">
        <v>4368</v>
      </c>
      <c r="C86" s="210" t="s">
        <v>2092</v>
      </c>
      <c r="D86" s="203">
        <v>1661</v>
      </c>
      <c r="E86" s="186" t="s">
        <v>394</v>
      </c>
      <c r="F86" s="263"/>
      <c r="G86" s="189"/>
      <c r="H86" s="190"/>
      <c r="I86" s="195" t="s">
        <v>396</v>
      </c>
      <c r="J86" s="196" t="s">
        <v>397</v>
      </c>
      <c r="K86" s="197">
        <v>1</v>
      </c>
      <c r="L86" s="198">
        <v>1163</v>
      </c>
      <c r="M86" s="199"/>
      <c r="S86" s="184" t="s">
        <v>2289</v>
      </c>
    </row>
    <row r="87" spans="1:19" ht="16.5" customHeight="1" x14ac:dyDescent="0.2">
      <c r="A87" s="193">
        <v>16</v>
      </c>
      <c r="B87" s="184">
        <v>4369</v>
      </c>
      <c r="C87" s="210" t="s">
        <v>2093</v>
      </c>
      <c r="D87" s="264" t="s">
        <v>1942</v>
      </c>
      <c r="E87" s="265"/>
      <c r="F87" s="202"/>
      <c r="G87" s="200"/>
      <c r="H87" s="201"/>
      <c r="I87" s="195"/>
      <c r="J87" s="196"/>
      <c r="K87" s="197"/>
      <c r="L87" s="198">
        <v>1744</v>
      </c>
      <c r="M87" s="199"/>
      <c r="S87" s="184" t="s">
        <v>2290</v>
      </c>
    </row>
    <row r="88" spans="1:19" ht="16.5" customHeight="1" x14ac:dyDescent="0.2">
      <c r="A88" s="193">
        <v>16</v>
      </c>
      <c r="B88" s="184">
        <v>4370</v>
      </c>
      <c r="C88" s="210" t="s">
        <v>2094</v>
      </c>
      <c r="D88" s="261"/>
      <c r="E88" s="260"/>
      <c r="F88" s="194"/>
      <c r="G88" s="189"/>
      <c r="H88" s="190"/>
      <c r="I88" s="195" t="s">
        <v>396</v>
      </c>
      <c r="J88" s="196" t="s">
        <v>397</v>
      </c>
      <c r="K88" s="197">
        <v>1</v>
      </c>
      <c r="L88" s="198">
        <v>1744</v>
      </c>
      <c r="M88" s="199"/>
      <c r="S88" s="184" t="s">
        <v>2291</v>
      </c>
    </row>
    <row r="89" spans="1:19" ht="16.5" customHeight="1" x14ac:dyDescent="0.2">
      <c r="A89" s="193">
        <v>16</v>
      </c>
      <c r="B89" s="184">
        <v>4371</v>
      </c>
      <c r="C89" s="210" t="s">
        <v>2095</v>
      </c>
      <c r="D89" s="261"/>
      <c r="E89" s="260"/>
      <c r="F89" s="262" t="s">
        <v>398</v>
      </c>
      <c r="G89" s="200" t="s">
        <v>397</v>
      </c>
      <c r="H89" s="201">
        <v>0.7</v>
      </c>
      <c r="I89" s="195"/>
      <c r="J89" s="196"/>
      <c r="K89" s="197"/>
      <c r="L89" s="198">
        <v>1221</v>
      </c>
      <c r="M89" s="199"/>
      <c r="S89" s="184" t="s">
        <v>2292</v>
      </c>
    </row>
    <row r="90" spans="1:19" ht="16.5" customHeight="1" x14ac:dyDescent="0.2">
      <c r="A90" s="193">
        <v>16</v>
      </c>
      <c r="B90" s="184">
        <v>4372</v>
      </c>
      <c r="C90" s="210" t="s">
        <v>2096</v>
      </c>
      <c r="D90" s="204">
        <v>1744</v>
      </c>
      <c r="E90" s="189" t="s">
        <v>394</v>
      </c>
      <c r="F90" s="263"/>
      <c r="G90" s="189"/>
      <c r="H90" s="190"/>
      <c r="I90" s="195" t="s">
        <v>396</v>
      </c>
      <c r="J90" s="196" t="s">
        <v>397</v>
      </c>
      <c r="K90" s="197">
        <v>1</v>
      </c>
      <c r="L90" s="198">
        <v>1221</v>
      </c>
      <c r="M90" s="205"/>
      <c r="S90" s="184" t="s">
        <v>2293</v>
      </c>
    </row>
    <row r="91" spans="1:19" ht="16.5" customHeight="1" x14ac:dyDescent="0.2"/>
    <row r="92" spans="1:19" ht="16.5" customHeight="1" x14ac:dyDescent="0.2"/>
  </sheetData>
  <mergeCells count="42">
    <mergeCell ref="D79:E81"/>
    <mergeCell ref="F81:F82"/>
    <mergeCell ref="D83:E85"/>
    <mergeCell ref="F85:F86"/>
    <mergeCell ref="D87:E89"/>
    <mergeCell ref="F89:F90"/>
    <mergeCell ref="D67:E69"/>
    <mergeCell ref="F69:F70"/>
    <mergeCell ref="D71:E73"/>
    <mergeCell ref="F73:F74"/>
    <mergeCell ref="D75:E77"/>
    <mergeCell ref="F77:F78"/>
    <mergeCell ref="D55:E57"/>
    <mergeCell ref="F57:F58"/>
    <mergeCell ref="D59:E61"/>
    <mergeCell ref="F61:F62"/>
    <mergeCell ref="D63:E65"/>
    <mergeCell ref="F65:F66"/>
    <mergeCell ref="D43:E45"/>
    <mergeCell ref="F45:F46"/>
    <mergeCell ref="D47:E49"/>
    <mergeCell ref="F49:F50"/>
    <mergeCell ref="D51:E53"/>
    <mergeCell ref="F53:F54"/>
    <mergeCell ref="D31:E33"/>
    <mergeCell ref="F33:F34"/>
    <mergeCell ref="D35:E37"/>
    <mergeCell ref="F37:F38"/>
    <mergeCell ref="D39:E41"/>
    <mergeCell ref="F41:F42"/>
    <mergeCell ref="D19:E21"/>
    <mergeCell ref="F21:F22"/>
    <mergeCell ref="D23:E25"/>
    <mergeCell ref="F25:F26"/>
    <mergeCell ref="D27:E29"/>
    <mergeCell ref="F29:F30"/>
    <mergeCell ref="D7:E9"/>
    <mergeCell ref="F9:F10"/>
    <mergeCell ref="D11:E13"/>
    <mergeCell ref="F13:F14"/>
    <mergeCell ref="D15:E17"/>
    <mergeCell ref="F17:F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>
    <oddHeader>&amp;R&amp;"ＭＳ Ｐゴシック"&amp;9居宅介護</oddHeader>
    <oddFooter>&amp;C&amp;"ＭＳ Ｐゴシック"&amp;14&amp;P</oddFooter>
  </headerFooter>
  <rowBreaks count="1" manualBreakCount="1">
    <brk id="66" max="12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69"/>
  <sheetViews>
    <sheetView workbookViewId="0"/>
  </sheetViews>
  <sheetFormatPr defaultColWidth="8.90625" defaultRowHeight="14" x14ac:dyDescent="0.2"/>
  <cols>
    <col min="1" max="1" width="4.6328125" style="22" customWidth="1"/>
    <col min="2" max="2" width="7.6328125" style="22" customWidth="1"/>
    <col min="3" max="3" width="33.6328125" style="23" bestFit="1" customWidth="1"/>
    <col min="4" max="4" width="4.90625" style="23" customWidth="1"/>
    <col min="5" max="5" width="4.453125" style="90" bestFit="1" customWidth="1"/>
    <col min="6" max="6" width="11.90625" style="25" customWidth="1"/>
    <col min="7" max="7" width="3.453125" style="25" bestFit="1" customWidth="1"/>
    <col min="8" max="8" width="4.453125" style="26" bestFit="1" customWidth="1"/>
    <col min="9" max="9" width="25.36328125" style="27" bestFit="1" customWidth="1"/>
    <col min="10" max="10" width="3.453125" style="25" bestFit="1" customWidth="1"/>
    <col min="11" max="11" width="5.453125" style="26" bestFit="1" customWidth="1"/>
    <col min="12" max="12" width="3.453125" style="25" bestFit="1" customWidth="1"/>
    <col min="13" max="13" width="4.453125" style="26" bestFit="1" customWidth="1"/>
    <col min="14" max="14" width="5.36328125" style="25" bestFit="1" customWidth="1"/>
    <col min="15" max="15" width="7.08984375" style="125" customWidth="1"/>
    <col min="16" max="16" width="8.6328125" style="29" customWidth="1"/>
    <col min="17" max="16384" width="8.90625" style="25"/>
  </cols>
  <sheetData>
    <row r="1" spans="1:16" ht="17.149999999999999" customHeight="1" x14ac:dyDescent="0.2"/>
    <row r="2" spans="1:16" ht="17.149999999999999" customHeight="1" x14ac:dyDescent="0.2"/>
    <row r="3" spans="1:16" ht="17.149999999999999" customHeight="1" x14ac:dyDescent="0.2"/>
    <row r="4" spans="1:16" ht="17.149999999999999" customHeight="1" x14ac:dyDescent="0.2">
      <c r="B4" s="30" t="s">
        <v>1329</v>
      </c>
      <c r="D4" s="65"/>
    </row>
    <row r="5" spans="1:16" ht="16.5" customHeight="1" x14ac:dyDescent="0.2">
      <c r="A5" s="31" t="s">
        <v>386</v>
      </c>
      <c r="B5" s="32"/>
      <c r="C5" s="33" t="s">
        <v>387</v>
      </c>
      <c r="D5" s="34" t="s">
        <v>388</v>
      </c>
      <c r="E5" s="91"/>
      <c r="F5" s="34"/>
      <c r="G5" s="34"/>
      <c r="H5" s="35"/>
      <c r="I5" s="34"/>
      <c r="J5" s="34"/>
      <c r="K5" s="35"/>
      <c r="L5" s="34"/>
      <c r="M5" s="35"/>
      <c r="N5" s="34"/>
      <c r="O5" s="33" t="s">
        <v>389</v>
      </c>
      <c r="P5" s="33" t="s">
        <v>390</v>
      </c>
    </row>
    <row r="6" spans="1:16" ht="16.5" customHeight="1" x14ac:dyDescent="0.2">
      <c r="A6" s="37" t="s">
        <v>391</v>
      </c>
      <c r="B6" s="37" t="s">
        <v>392</v>
      </c>
      <c r="C6" s="38"/>
      <c r="D6" s="40"/>
      <c r="E6" s="93"/>
      <c r="F6" s="40"/>
      <c r="G6" s="40"/>
      <c r="H6" s="41"/>
      <c r="I6" s="40"/>
      <c r="J6" s="40"/>
      <c r="K6" s="41"/>
      <c r="L6" s="40"/>
      <c r="M6" s="41"/>
      <c r="N6" s="40"/>
      <c r="O6" s="43" t="s">
        <v>393</v>
      </c>
      <c r="P6" s="43" t="s">
        <v>394</v>
      </c>
    </row>
    <row r="7" spans="1:16" ht="16.5" customHeight="1" x14ac:dyDescent="0.2">
      <c r="A7" s="44">
        <v>16</v>
      </c>
      <c r="B7" s="44">
        <v>3911</v>
      </c>
      <c r="C7" s="45" t="s">
        <v>1331</v>
      </c>
      <c r="D7" s="245" t="s">
        <v>1943</v>
      </c>
      <c r="E7" s="246"/>
      <c r="F7" s="47"/>
      <c r="I7" s="48"/>
      <c r="J7" s="49"/>
      <c r="K7" s="50"/>
      <c r="L7" s="67" t="s">
        <v>399</v>
      </c>
      <c r="N7" s="63"/>
      <c r="O7" s="126">
        <f>ROUND((_11_A通院１増０．５*(1+_11・A早朝)),0)</f>
        <v>104</v>
      </c>
      <c r="P7" s="52" t="s">
        <v>395</v>
      </c>
    </row>
    <row r="8" spans="1:16" ht="16.5" customHeight="1" x14ac:dyDescent="0.2">
      <c r="A8" s="44">
        <v>16</v>
      </c>
      <c r="B8" s="53">
        <v>3912</v>
      </c>
      <c r="C8" s="69" t="s">
        <v>1332</v>
      </c>
      <c r="D8" s="245"/>
      <c r="E8" s="246"/>
      <c r="F8" s="54"/>
      <c r="G8" s="49"/>
      <c r="H8" s="50"/>
      <c r="I8" s="55" t="s">
        <v>396</v>
      </c>
      <c r="J8" s="56" t="s">
        <v>397</v>
      </c>
      <c r="K8" s="57">
        <v>1</v>
      </c>
      <c r="L8" s="47" t="s">
        <v>397</v>
      </c>
      <c r="M8" s="26">
        <v>0.25</v>
      </c>
      <c r="N8" s="248" t="s">
        <v>400</v>
      </c>
      <c r="O8" s="127">
        <f>ROUND((ROUND((_11_A通院１増０．５*_11・２人),0)*(1+_11・A早朝)),0)</f>
        <v>104</v>
      </c>
      <c r="P8" s="59"/>
    </row>
    <row r="9" spans="1:16" ht="16.5" customHeight="1" x14ac:dyDescent="0.2">
      <c r="A9" s="44">
        <v>16</v>
      </c>
      <c r="B9" s="53">
        <v>3913</v>
      </c>
      <c r="C9" s="69" t="s">
        <v>1333</v>
      </c>
      <c r="D9" s="245"/>
      <c r="E9" s="246"/>
      <c r="F9" s="241" t="s">
        <v>398</v>
      </c>
      <c r="G9" s="60" t="s">
        <v>397</v>
      </c>
      <c r="H9" s="61">
        <v>0.7</v>
      </c>
      <c r="I9" s="55"/>
      <c r="J9" s="56"/>
      <c r="K9" s="57"/>
      <c r="L9" s="47"/>
      <c r="N9" s="248"/>
      <c r="O9" s="127">
        <f>ROUND((ROUND((_11_A通院１増０．５*_11・基礎１),0)*(1+_11・A早朝)),0)</f>
        <v>73</v>
      </c>
      <c r="P9" s="59"/>
    </row>
    <row r="10" spans="1:16" ht="16.5" customHeight="1" x14ac:dyDescent="0.2">
      <c r="A10" s="44">
        <v>16</v>
      </c>
      <c r="B10" s="53">
        <v>3914</v>
      </c>
      <c r="C10" s="69" t="s">
        <v>1334</v>
      </c>
      <c r="D10" s="84">
        <f>_11_A通院１増０．５</f>
        <v>83</v>
      </c>
      <c r="E10" s="25" t="s">
        <v>394</v>
      </c>
      <c r="F10" s="257"/>
      <c r="G10" s="49"/>
      <c r="H10" s="50"/>
      <c r="I10" s="55" t="s">
        <v>396</v>
      </c>
      <c r="J10" s="56" t="s">
        <v>397</v>
      </c>
      <c r="K10" s="57">
        <v>1</v>
      </c>
      <c r="L10" s="47"/>
      <c r="N10" s="63"/>
      <c r="O10" s="127">
        <f>ROUND((ROUND((ROUND((_11_A通院１増０．５*_11・基礎１),0)*_11・２人),0)*(1+_11・A早朝)),0)</f>
        <v>73</v>
      </c>
      <c r="P10" s="59"/>
    </row>
    <row r="11" spans="1:16" ht="16.5" customHeight="1" x14ac:dyDescent="0.2">
      <c r="A11" s="44">
        <v>16</v>
      </c>
      <c r="B11" s="53">
        <v>3915</v>
      </c>
      <c r="C11" s="69" t="s">
        <v>1335</v>
      </c>
      <c r="D11" s="243" t="s">
        <v>1944</v>
      </c>
      <c r="E11" s="244"/>
      <c r="F11" s="62"/>
      <c r="G11" s="60"/>
      <c r="H11" s="61"/>
      <c r="I11" s="55"/>
      <c r="J11" s="56"/>
      <c r="K11" s="57"/>
      <c r="L11" s="47"/>
      <c r="N11" s="63"/>
      <c r="O11" s="127">
        <f>ROUND((_11_A通院１増１．０*(1+_11・A早朝)),0)</f>
        <v>208</v>
      </c>
      <c r="P11" s="59"/>
    </row>
    <row r="12" spans="1:16" ht="16.5" customHeight="1" x14ac:dyDescent="0.2">
      <c r="A12" s="44">
        <v>16</v>
      </c>
      <c r="B12" s="53">
        <v>3916</v>
      </c>
      <c r="C12" s="69" t="s">
        <v>1336</v>
      </c>
      <c r="D12" s="245"/>
      <c r="E12" s="246"/>
      <c r="F12" s="54"/>
      <c r="G12" s="49"/>
      <c r="H12" s="50"/>
      <c r="I12" s="55" t="s">
        <v>396</v>
      </c>
      <c r="J12" s="56" t="s">
        <v>397</v>
      </c>
      <c r="K12" s="57">
        <v>1</v>
      </c>
      <c r="L12" s="47"/>
      <c r="N12" s="63"/>
      <c r="O12" s="127">
        <f>ROUND((ROUND((_11_A通院１増１．０*_11・２人),0)*(1+_11・A早朝)),0)</f>
        <v>208</v>
      </c>
      <c r="P12" s="59"/>
    </row>
    <row r="13" spans="1:16" ht="16.5" customHeight="1" x14ac:dyDescent="0.2">
      <c r="A13" s="44">
        <v>16</v>
      </c>
      <c r="B13" s="53">
        <v>3917</v>
      </c>
      <c r="C13" s="69" t="s">
        <v>1337</v>
      </c>
      <c r="D13" s="245"/>
      <c r="E13" s="246"/>
      <c r="F13" s="241" t="s">
        <v>398</v>
      </c>
      <c r="G13" s="60" t="s">
        <v>397</v>
      </c>
      <c r="H13" s="61">
        <v>0.7</v>
      </c>
      <c r="I13" s="55"/>
      <c r="J13" s="56"/>
      <c r="K13" s="57"/>
      <c r="L13" s="47"/>
      <c r="N13" s="63"/>
      <c r="O13" s="127">
        <f>ROUND((ROUND((_11_A通院１増１．０*_11・基礎１),0)*(1+_11・A早朝)),0)</f>
        <v>145</v>
      </c>
      <c r="P13" s="59"/>
    </row>
    <row r="14" spans="1:16" ht="16.5" customHeight="1" x14ac:dyDescent="0.2">
      <c r="A14" s="44">
        <v>16</v>
      </c>
      <c r="B14" s="53">
        <v>3918</v>
      </c>
      <c r="C14" s="69" t="s">
        <v>1338</v>
      </c>
      <c r="D14" s="84">
        <f>_11_A通院１増１．０</f>
        <v>166</v>
      </c>
      <c r="E14" s="25" t="s">
        <v>394</v>
      </c>
      <c r="F14" s="245"/>
      <c r="G14" s="49"/>
      <c r="H14" s="50"/>
      <c r="I14" s="55" t="s">
        <v>396</v>
      </c>
      <c r="J14" s="56" t="s">
        <v>397</v>
      </c>
      <c r="K14" s="57">
        <v>1</v>
      </c>
      <c r="L14" s="47"/>
      <c r="N14" s="63"/>
      <c r="O14" s="127">
        <f>ROUND((ROUND((ROUND((_11_A通院１増１．０*_11・基礎１),0)*_11・２人),0)*(1+_11・A早朝)),0)</f>
        <v>145</v>
      </c>
      <c r="P14" s="59"/>
    </row>
    <row r="15" spans="1:16" ht="16.5" customHeight="1" x14ac:dyDescent="0.2">
      <c r="A15" s="44">
        <v>16</v>
      </c>
      <c r="B15" s="53">
        <v>3919</v>
      </c>
      <c r="C15" s="69" t="s">
        <v>1339</v>
      </c>
      <c r="D15" s="243" t="s">
        <v>1945</v>
      </c>
      <c r="E15" s="244"/>
      <c r="F15" s="62"/>
      <c r="G15" s="60"/>
      <c r="H15" s="61"/>
      <c r="I15" s="55"/>
      <c r="J15" s="56"/>
      <c r="K15" s="57"/>
      <c r="L15" s="47"/>
      <c r="N15" s="63"/>
      <c r="O15" s="127">
        <f>ROUND((_11_A通院１増１．５*(1+_11・A早朝)),0)</f>
        <v>311</v>
      </c>
      <c r="P15" s="59"/>
    </row>
    <row r="16" spans="1:16" ht="16.5" customHeight="1" x14ac:dyDescent="0.2">
      <c r="A16" s="44">
        <v>16</v>
      </c>
      <c r="B16" s="53">
        <v>3920</v>
      </c>
      <c r="C16" s="69" t="s">
        <v>1340</v>
      </c>
      <c r="D16" s="245"/>
      <c r="E16" s="246"/>
      <c r="F16" s="54"/>
      <c r="G16" s="49"/>
      <c r="H16" s="50"/>
      <c r="I16" s="55" t="s">
        <v>396</v>
      </c>
      <c r="J16" s="56" t="s">
        <v>397</v>
      </c>
      <c r="K16" s="57">
        <v>1</v>
      </c>
      <c r="L16" s="47"/>
      <c r="N16" s="63"/>
      <c r="O16" s="127">
        <f>ROUND((ROUND((_11_A通院１増１．５*_11・２人),0)*(1+_11・A早朝)),0)</f>
        <v>311</v>
      </c>
      <c r="P16" s="59"/>
    </row>
    <row r="17" spans="1:16" ht="16.5" customHeight="1" x14ac:dyDescent="0.2">
      <c r="A17" s="44">
        <v>16</v>
      </c>
      <c r="B17" s="53">
        <v>3921</v>
      </c>
      <c r="C17" s="69" t="s">
        <v>1341</v>
      </c>
      <c r="D17" s="245"/>
      <c r="E17" s="246"/>
      <c r="F17" s="241" t="s">
        <v>398</v>
      </c>
      <c r="G17" s="60" t="s">
        <v>397</v>
      </c>
      <c r="H17" s="61">
        <v>0.7</v>
      </c>
      <c r="I17" s="55"/>
      <c r="J17" s="56"/>
      <c r="K17" s="57"/>
      <c r="L17" s="47"/>
      <c r="N17" s="63"/>
      <c r="O17" s="127">
        <f>ROUND((ROUND((_11_A通院１増１．５*_11・基礎１),0)*(1+_11・A早朝)),0)</f>
        <v>218</v>
      </c>
      <c r="P17" s="59"/>
    </row>
    <row r="18" spans="1:16" ht="16.5" customHeight="1" x14ac:dyDescent="0.2">
      <c r="A18" s="44">
        <v>16</v>
      </c>
      <c r="B18" s="53">
        <v>3922</v>
      </c>
      <c r="C18" s="69" t="s">
        <v>1342</v>
      </c>
      <c r="D18" s="84">
        <f>_11_A通院１増１．５</f>
        <v>249</v>
      </c>
      <c r="E18" s="25" t="s">
        <v>394</v>
      </c>
      <c r="F18" s="257"/>
      <c r="G18" s="49"/>
      <c r="H18" s="50"/>
      <c r="I18" s="55" t="s">
        <v>396</v>
      </c>
      <c r="J18" s="56" t="s">
        <v>397</v>
      </c>
      <c r="K18" s="57">
        <v>1</v>
      </c>
      <c r="L18" s="47"/>
      <c r="N18" s="63"/>
      <c r="O18" s="127">
        <f>ROUND((ROUND((ROUND((_11_A通院１増１．５*_11・基礎１),0)*_11・２人),0)*(1+_11・A早朝)),0)</f>
        <v>218</v>
      </c>
      <c r="P18" s="59"/>
    </row>
    <row r="19" spans="1:16" ht="16.5" customHeight="1" x14ac:dyDescent="0.2">
      <c r="A19" s="44">
        <v>16</v>
      </c>
      <c r="B19" s="53">
        <v>3923</v>
      </c>
      <c r="C19" s="69" t="s">
        <v>1343</v>
      </c>
      <c r="D19" s="243" t="s">
        <v>1946</v>
      </c>
      <c r="E19" s="244"/>
      <c r="F19" s="62"/>
      <c r="G19" s="60"/>
      <c r="H19" s="61"/>
      <c r="I19" s="55"/>
      <c r="J19" s="56"/>
      <c r="K19" s="57"/>
      <c r="L19" s="47"/>
      <c r="N19" s="63"/>
      <c r="O19" s="127">
        <f>ROUND((_11_A通院１増２．０*(1+_11・A早朝)),0)</f>
        <v>415</v>
      </c>
      <c r="P19" s="59"/>
    </row>
    <row r="20" spans="1:16" ht="16.5" customHeight="1" x14ac:dyDescent="0.2">
      <c r="A20" s="44">
        <v>16</v>
      </c>
      <c r="B20" s="53">
        <v>3924</v>
      </c>
      <c r="C20" s="69" t="s">
        <v>1344</v>
      </c>
      <c r="D20" s="245"/>
      <c r="E20" s="246"/>
      <c r="F20" s="54"/>
      <c r="G20" s="49"/>
      <c r="H20" s="50"/>
      <c r="I20" s="55" t="s">
        <v>396</v>
      </c>
      <c r="J20" s="56" t="s">
        <v>397</v>
      </c>
      <c r="K20" s="57">
        <v>1</v>
      </c>
      <c r="L20" s="47"/>
      <c r="N20" s="63"/>
      <c r="O20" s="127">
        <f>ROUND((ROUND((_11_A通院１増２．０*_11・２人),0)*(1+_11・A早朝)),0)</f>
        <v>415</v>
      </c>
      <c r="P20" s="59"/>
    </row>
    <row r="21" spans="1:16" ht="16.5" customHeight="1" x14ac:dyDescent="0.2">
      <c r="A21" s="44">
        <v>16</v>
      </c>
      <c r="B21" s="53">
        <v>3925</v>
      </c>
      <c r="C21" s="69" t="s">
        <v>1345</v>
      </c>
      <c r="D21" s="245"/>
      <c r="E21" s="246"/>
      <c r="F21" s="241" t="s">
        <v>398</v>
      </c>
      <c r="G21" s="60" t="s">
        <v>397</v>
      </c>
      <c r="H21" s="61">
        <v>0.7</v>
      </c>
      <c r="I21" s="55"/>
      <c r="J21" s="56"/>
      <c r="K21" s="57"/>
      <c r="L21" s="47"/>
      <c r="N21" s="63"/>
      <c r="O21" s="127">
        <f>ROUND((ROUND((_11_A通院１増２．０*_11・基礎１),0)*(1+_11・A早朝)),0)</f>
        <v>290</v>
      </c>
      <c r="P21" s="59"/>
    </row>
    <row r="22" spans="1:16" ht="16.5" customHeight="1" x14ac:dyDescent="0.2">
      <c r="A22" s="44">
        <v>16</v>
      </c>
      <c r="B22" s="53">
        <v>3926</v>
      </c>
      <c r="C22" s="69" t="s">
        <v>1346</v>
      </c>
      <c r="D22" s="84">
        <f>_11_A通院１増２．０</f>
        <v>332</v>
      </c>
      <c r="E22" s="25" t="s">
        <v>394</v>
      </c>
      <c r="F22" s="257"/>
      <c r="G22" s="49"/>
      <c r="H22" s="50"/>
      <c r="I22" s="55" t="s">
        <v>396</v>
      </c>
      <c r="J22" s="56" t="s">
        <v>397</v>
      </c>
      <c r="K22" s="57">
        <v>1</v>
      </c>
      <c r="L22" s="47"/>
      <c r="N22" s="63"/>
      <c r="O22" s="127">
        <f>ROUND((ROUND((ROUND((_11_A通院１増２．０*_11・基礎１),0)*_11・２人),0)*(1+_11・A早朝)),0)</f>
        <v>290</v>
      </c>
      <c r="P22" s="59"/>
    </row>
    <row r="23" spans="1:16" ht="16.5" customHeight="1" x14ac:dyDescent="0.2">
      <c r="A23" s="44">
        <v>16</v>
      </c>
      <c r="B23" s="53">
        <v>3927</v>
      </c>
      <c r="C23" s="69" t="s">
        <v>1347</v>
      </c>
      <c r="D23" s="243" t="s">
        <v>1947</v>
      </c>
      <c r="E23" s="244"/>
      <c r="F23" s="62"/>
      <c r="G23" s="60"/>
      <c r="H23" s="61"/>
      <c r="I23" s="55"/>
      <c r="J23" s="56"/>
      <c r="K23" s="57"/>
      <c r="L23" s="47"/>
      <c r="M23" s="176"/>
      <c r="N23" s="63"/>
      <c r="O23" s="127">
        <f>ROUND((_11_A通院１増２．５*(1+_11・A早朝)),0)</f>
        <v>519</v>
      </c>
      <c r="P23" s="59"/>
    </row>
    <row r="24" spans="1:16" ht="16.5" customHeight="1" x14ac:dyDescent="0.2">
      <c r="A24" s="44">
        <v>16</v>
      </c>
      <c r="B24" s="53">
        <v>3928</v>
      </c>
      <c r="C24" s="69" t="s">
        <v>1348</v>
      </c>
      <c r="D24" s="245"/>
      <c r="E24" s="246"/>
      <c r="F24" s="54"/>
      <c r="G24" s="49"/>
      <c r="H24" s="50"/>
      <c r="I24" s="55" t="s">
        <v>396</v>
      </c>
      <c r="J24" s="56" t="s">
        <v>397</v>
      </c>
      <c r="K24" s="57">
        <v>1</v>
      </c>
      <c r="L24" s="47"/>
      <c r="M24" s="176"/>
      <c r="N24" s="63"/>
      <c r="O24" s="127">
        <f>ROUND((ROUND((_11_A通院１増２．５*_11・２人),0)*(1+_11・A早朝)),0)</f>
        <v>519</v>
      </c>
      <c r="P24" s="59"/>
    </row>
    <row r="25" spans="1:16" ht="16.5" customHeight="1" x14ac:dyDescent="0.2">
      <c r="A25" s="44">
        <v>16</v>
      </c>
      <c r="B25" s="53">
        <v>3929</v>
      </c>
      <c r="C25" s="69" t="s">
        <v>1349</v>
      </c>
      <c r="D25" s="245"/>
      <c r="E25" s="246"/>
      <c r="F25" s="241" t="s">
        <v>398</v>
      </c>
      <c r="G25" s="60" t="s">
        <v>397</v>
      </c>
      <c r="H25" s="61">
        <v>0.7</v>
      </c>
      <c r="I25" s="55"/>
      <c r="J25" s="56"/>
      <c r="K25" s="57"/>
      <c r="L25" s="47"/>
      <c r="M25" s="176"/>
      <c r="N25" s="63"/>
      <c r="O25" s="127">
        <f>ROUND((ROUND((_11_A通院１増２．５*_11・基礎１),0)*(1+_11・A早朝)),0)</f>
        <v>364</v>
      </c>
      <c r="P25" s="59"/>
    </row>
    <row r="26" spans="1:16" ht="16.5" customHeight="1" x14ac:dyDescent="0.2">
      <c r="A26" s="44">
        <v>16</v>
      </c>
      <c r="B26" s="53">
        <v>3930</v>
      </c>
      <c r="C26" s="69" t="s">
        <v>1350</v>
      </c>
      <c r="D26" s="110">
        <f>_11_A通院１増２．５</f>
        <v>415</v>
      </c>
      <c r="E26" s="49" t="s">
        <v>394</v>
      </c>
      <c r="F26" s="257"/>
      <c r="G26" s="49"/>
      <c r="H26" s="50"/>
      <c r="I26" s="55" t="s">
        <v>396</v>
      </c>
      <c r="J26" s="56" t="s">
        <v>397</v>
      </c>
      <c r="K26" s="57">
        <v>1</v>
      </c>
      <c r="L26" s="54"/>
      <c r="M26" s="50"/>
      <c r="N26" s="97"/>
      <c r="O26" s="127">
        <f>ROUND((ROUND((ROUND((_11_A通院１増２．５*_11・基礎１),0)*_11・２人),0)*(1+_11・A早朝)),0)</f>
        <v>364</v>
      </c>
      <c r="P26" s="111"/>
    </row>
    <row r="27" spans="1:16" ht="16.5" customHeight="1" x14ac:dyDescent="0.2">
      <c r="A27" s="71"/>
      <c r="B27" s="71"/>
      <c r="C27" s="72"/>
      <c r="O27" s="128"/>
      <c r="P27" s="75"/>
    </row>
    <row r="28" spans="1:16" ht="16.5" customHeight="1" x14ac:dyDescent="0.2">
      <c r="A28" s="71"/>
      <c r="B28" s="71"/>
      <c r="C28" s="72"/>
      <c r="O28" s="128"/>
      <c r="P28" s="75"/>
    </row>
    <row r="29" spans="1:16" ht="16.5" customHeight="1" x14ac:dyDescent="0.2">
      <c r="A29" s="71"/>
      <c r="B29" s="76" t="s">
        <v>1330</v>
      </c>
      <c r="C29" s="72"/>
      <c r="D29" s="65"/>
      <c r="O29" s="128"/>
      <c r="P29" s="75"/>
    </row>
    <row r="30" spans="1:16" ht="16.5" customHeight="1" x14ac:dyDescent="0.2">
      <c r="A30" s="77" t="s">
        <v>386</v>
      </c>
      <c r="B30" s="32"/>
      <c r="C30" s="78" t="s">
        <v>387</v>
      </c>
      <c r="D30" s="34" t="s">
        <v>388</v>
      </c>
      <c r="E30" s="91"/>
      <c r="F30" s="34"/>
      <c r="G30" s="34"/>
      <c r="H30" s="35"/>
      <c r="I30" s="34"/>
      <c r="J30" s="34"/>
      <c r="K30" s="35"/>
      <c r="L30" s="34"/>
      <c r="M30" s="35"/>
      <c r="N30" s="34"/>
      <c r="O30" s="33" t="s">
        <v>389</v>
      </c>
      <c r="P30" s="33" t="s">
        <v>390</v>
      </c>
    </row>
    <row r="31" spans="1:16" ht="16.5" customHeight="1" x14ac:dyDescent="0.2">
      <c r="A31" s="37" t="s">
        <v>391</v>
      </c>
      <c r="B31" s="37" t="s">
        <v>392</v>
      </c>
      <c r="C31" s="79"/>
      <c r="D31" s="40"/>
      <c r="E31" s="93"/>
      <c r="F31" s="40"/>
      <c r="G31" s="40"/>
      <c r="H31" s="41"/>
      <c r="I31" s="40"/>
      <c r="J31" s="40"/>
      <c r="K31" s="41"/>
      <c r="L31" s="40"/>
      <c r="M31" s="41"/>
      <c r="N31" s="40"/>
      <c r="O31" s="43" t="s">
        <v>393</v>
      </c>
      <c r="P31" s="43" t="s">
        <v>394</v>
      </c>
    </row>
    <row r="32" spans="1:16" ht="16.5" customHeight="1" x14ac:dyDescent="0.2">
      <c r="A32" s="44">
        <v>16</v>
      </c>
      <c r="B32" s="44">
        <v>3931</v>
      </c>
      <c r="C32" s="45" t="s">
        <v>1351</v>
      </c>
      <c r="D32" s="245" t="s">
        <v>1948</v>
      </c>
      <c r="E32" s="246"/>
      <c r="F32" s="47"/>
      <c r="I32" s="48"/>
      <c r="J32" s="49"/>
      <c r="K32" s="50"/>
      <c r="L32" s="67" t="s">
        <v>401</v>
      </c>
      <c r="N32" s="63"/>
      <c r="O32" s="126">
        <f>ROUND((_11_A通院１増０．５*(1+_11・A夜間)),0)</f>
        <v>104</v>
      </c>
      <c r="P32" s="52" t="s">
        <v>395</v>
      </c>
    </row>
    <row r="33" spans="1:16" ht="16.5" customHeight="1" x14ac:dyDescent="0.2">
      <c r="A33" s="44">
        <v>16</v>
      </c>
      <c r="B33" s="53">
        <v>3932</v>
      </c>
      <c r="C33" s="69" t="s">
        <v>1352</v>
      </c>
      <c r="D33" s="245"/>
      <c r="E33" s="246"/>
      <c r="F33" s="54"/>
      <c r="G33" s="49"/>
      <c r="H33" s="50"/>
      <c r="I33" s="55" t="s">
        <v>396</v>
      </c>
      <c r="J33" s="56" t="s">
        <v>397</v>
      </c>
      <c r="K33" s="57">
        <v>1</v>
      </c>
      <c r="L33" s="47" t="s">
        <v>397</v>
      </c>
      <c r="M33" s="26">
        <v>0.25</v>
      </c>
      <c r="N33" s="248" t="s">
        <v>400</v>
      </c>
      <c r="O33" s="127">
        <f>ROUND((ROUND((_11_A通院１増０．５*_11・２人),0)*(1+_11・A夜間)),0)</f>
        <v>104</v>
      </c>
      <c r="P33" s="59"/>
    </row>
    <row r="34" spans="1:16" ht="16.5" customHeight="1" x14ac:dyDescent="0.2">
      <c r="A34" s="44">
        <v>16</v>
      </c>
      <c r="B34" s="53">
        <v>3933</v>
      </c>
      <c r="C34" s="69" t="s">
        <v>1353</v>
      </c>
      <c r="D34" s="245"/>
      <c r="E34" s="246"/>
      <c r="F34" s="241" t="s">
        <v>398</v>
      </c>
      <c r="G34" s="60" t="s">
        <v>397</v>
      </c>
      <c r="H34" s="61">
        <v>0.7</v>
      </c>
      <c r="I34" s="55"/>
      <c r="J34" s="56"/>
      <c r="K34" s="57"/>
      <c r="L34" s="47"/>
      <c r="N34" s="248"/>
      <c r="O34" s="127">
        <f>ROUND((ROUND((_11_A通院１増０．５*_11・基礎１),0)*(1+_11・A夜間)),0)</f>
        <v>73</v>
      </c>
      <c r="P34" s="59"/>
    </row>
    <row r="35" spans="1:16" ht="16.5" customHeight="1" x14ac:dyDescent="0.2">
      <c r="A35" s="44">
        <v>16</v>
      </c>
      <c r="B35" s="53">
        <v>3934</v>
      </c>
      <c r="C35" s="69" t="s">
        <v>1354</v>
      </c>
      <c r="D35" s="84">
        <f>_11_A通院１増０．５</f>
        <v>83</v>
      </c>
      <c r="E35" s="25" t="s">
        <v>394</v>
      </c>
      <c r="F35" s="257"/>
      <c r="G35" s="49"/>
      <c r="H35" s="50"/>
      <c r="I35" s="55" t="s">
        <v>396</v>
      </c>
      <c r="J35" s="56" t="s">
        <v>397</v>
      </c>
      <c r="K35" s="57">
        <v>1</v>
      </c>
      <c r="L35" s="47"/>
      <c r="N35" s="63"/>
      <c r="O35" s="127">
        <f>ROUND((ROUND((ROUND((_11_A通院１増０．５*_11・基礎１),0)*_11・２人),0)*(1+_11・A夜間)),0)</f>
        <v>73</v>
      </c>
      <c r="P35" s="59"/>
    </row>
    <row r="36" spans="1:16" ht="16.5" customHeight="1" x14ac:dyDescent="0.2">
      <c r="A36" s="44">
        <v>16</v>
      </c>
      <c r="B36" s="53">
        <v>3935</v>
      </c>
      <c r="C36" s="69" t="s">
        <v>1355</v>
      </c>
      <c r="D36" s="243" t="s">
        <v>1949</v>
      </c>
      <c r="E36" s="244"/>
      <c r="F36" s="62"/>
      <c r="G36" s="60"/>
      <c r="H36" s="61"/>
      <c r="I36" s="55"/>
      <c r="J36" s="56"/>
      <c r="K36" s="57"/>
      <c r="L36" s="47"/>
      <c r="N36" s="63"/>
      <c r="O36" s="127">
        <f>ROUND((_11_A通院１増１．０*(1+_11・A夜間)),0)</f>
        <v>208</v>
      </c>
      <c r="P36" s="59"/>
    </row>
    <row r="37" spans="1:16" ht="16.5" customHeight="1" x14ac:dyDescent="0.2">
      <c r="A37" s="44">
        <v>16</v>
      </c>
      <c r="B37" s="53">
        <v>3936</v>
      </c>
      <c r="C37" s="69" t="s">
        <v>1356</v>
      </c>
      <c r="D37" s="245"/>
      <c r="E37" s="246"/>
      <c r="F37" s="54"/>
      <c r="G37" s="49"/>
      <c r="H37" s="50"/>
      <c r="I37" s="55" t="s">
        <v>396</v>
      </c>
      <c r="J37" s="56" t="s">
        <v>397</v>
      </c>
      <c r="K37" s="57">
        <v>1</v>
      </c>
      <c r="L37" s="47"/>
      <c r="N37" s="63"/>
      <c r="O37" s="127">
        <f>ROUND((ROUND((_11_A通院１増１．０*_11・２人),0)*(1+_11・A夜間)),0)</f>
        <v>208</v>
      </c>
      <c r="P37" s="59"/>
    </row>
    <row r="38" spans="1:16" ht="16.5" customHeight="1" x14ac:dyDescent="0.2">
      <c r="A38" s="44">
        <v>16</v>
      </c>
      <c r="B38" s="53">
        <v>3937</v>
      </c>
      <c r="C38" s="69" t="s">
        <v>1357</v>
      </c>
      <c r="D38" s="245"/>
      <c r="E38" s="246"/>
      <c r="F38" s="241" t="s">
        <v>398</v>
      </c>
      <c r="G38" s="60" t="s">
        <v>397</v>
      </c>
      <c r="H38" s="61">
        <v>0.7</v>
      </c>
      <c r="I38" s="55"/>
      <c r="J38" s="56"/>
      <c r="K38" s="57"/>
      <c r="L38" s="47"/>
      <c r="N38" s="63"/>
      <c r="O38" s="127">
        <f>ROUND((ROUND((_11_A通院１増１．０*_11・基礎１),0)*(1+_11・A夜間)),0)</f>
        <v>145</v>
      </c>
      <c r="P38" s="59"/>
    </row>
    <row r="39" spans="1:16" ht="16.5" customHeight="1" x14ac:dyDescent="0.2">
      <c r="A39" s="44">
        <v>16</v>
      </c>
      <c r="B39" s="53">
        <v>3938</v>
      </c>
      <c r="C39" s="69" t="s">
        <v>1358</v>
      </c>
      <c r="D39" s="84">
        <f>_11_A通院１増１．０</f>
        <v>166</v>
      </c>
      <c r="E39" s="25" t="s">
        <v>394</v>
      </c>
      <c r="F39" s="257"/>
      <c r="G39" s="49"/>
      <c r="H39" s="50"/>
      <c r="I39" s="55" t="s">
        <v>396</v>
      </c>
      <c r="J39" s="56" t="s">
        <v>397</v>
      </c>
      <c r="K39" s="57">
        <v>1</v>
      </c>
      <c r="L39" s="47"/>
      <c r="N39" s="63"/>
      <c r="O39" s="127">
        <f>ROUND((ROUND((ROUND((_11_A通院１増１．０*_11・基礎１),0)*_11・２人),0)*(1+_11・A夜間)),0)</f>
        <v>145</v>
      </c>
      <c r="P39" s="59"/>
    </row>
    <row r="40" spans="1:16" ht="16.5" customHeight="1" x14ac:dyDescent="0.2">
      <c r="A40" s="44">
        <v>16</v>
      </c>
      <c r="B40" s="53">
        <v>3939</v>
      </c>
      <c r="C40" s="69" t="s">
        <v>1359</v>
      </c>
      <c r="D40" s="243" t="s">
        <v>1950</v>
      </c>
      <c r="E40" s="244"/>
      <c r="F40" s="62"/>
      <c r="G40" s="60"/>
      <c r="H40" s="61"/>
      <c r="I40" s="55"/>
      <c r="J40" s="56"/>
      <c r="K40" s="57"/>
      <c r="L40" s="47"/>
      <c r="N40" s="63"/>
      <c r="O40" s="127">
        <f>ROUND((_11_A通院１増１．５*(1+_11・A夜間)),0)</f>
        <v>311</v>
      </c>
      <c r="P40" s="59"/>
    </row>
    <row r="41" spans="1:16" ht="16.5" customHeight="1" x14ac:dyDescent="0.2">
      <c r="A41" s="44">
        <v>16</v>
      </c>
      <c r="B41" s="53">
        <v>3940</v>
      </c>
      <c r="C41" s="69" t="s">
        <v>1360</v>
      </c>
      <c r="D41" s="245"/>
      <c r="E41" s="246"/>
      <c r="F41" s="54"/>
      <c r="G41" s="49"/>
      <c r="H41" s="50"/>
      <c r="I41" s="55" t="s">
        <v>396</v>
      </c>
      <c r="J41" s="56" t="s">
        <v>397</v>
      </c>
      <c r="K41" s="57">
        <v>1</v>
      </c>
      <c r="L41" s="47"/>
      <c r="N41" s="63"/>
      <c r="O41" s="127">
        <f>ROUND((ROUND((_11_A通院１増１．５*_11・２人),0)*(1+_11・A夜間)),0)</f>
        <v>311</v>
      </c>
      <c r="P41" s="59"/>
    </row>
    <row r="42" spans="1:16" ht="16.5" customHeight="1" x14ac:dyDescent="0.2">
      <c r="A42" s="44">
        <v>16</v>
      </c>
      <c r="B42" s="53">
        <v>3941</v>
      </c>
      <c r="C42" s="69" t="s">
        <v>1361</v>
      </c>
      <c r="D42" s="245"/>
      <c r="E42" s="246"/>
      <c r="F42" s="241" t="s">
        <v>398</v>
      </c>
      <c r="G42" s="60" t="s">
        <v>397</v>
      </c>
      <c r="H42" s="61">
        <v>0.7</v>
      </c>
      <c r="I42" s="55"/>
      <c r="J42" s="56"/>
      <c r="K42" s="57"/>
      <c r="L42" s="47"/>
      <c r="N42" s="63"/>
      <c r="O42" s="127">
        <f>ROUND((ROUND((_11_A通院１増１．５*_11・基礎１),0)*(1+_11・A夜間)),0)</f>
        <v>218</v>
      </c>
      <c r="P42" s="59"/>
    </row>
    <row r="43" spans="1:16" ht="16.5" customHeight="1" x14ac:dyDescent="0.2">
      <c r="A43" s="44">
        <v>16</v>
      </c>
      <c r="B43" s="53">
        <v>3942</v>
      </c>
      <c r="C43" s="69" t="s">
        <v>1362</v>
      </c>
      <c r="D43" s="84">
        <f>_11_A通院１増１．５</f>
        <v>249</v>
      </c>
      <c r="E43" s="25" t="s">
        <v>394</v>
      </c>
      <c r="F43" s="257"/>
      <c r="G43" s="49"/>
      <c r="H43" s="50"/>
      <c r="I43" s="55" t="s">
        <v>396</v>
      </c>
      <c r="J43" s="56" t="s">
        <v>397</v>
      </c>
      <c r="K43" s="57">
        <v>1</v>
      </c>
      <c r="L43" s="47"/>
      <c r="N43" s="63"/>
      <c r="O43" s="127">
        <f>ROUND((ROUND((ROUND((_11_A通院１増１．５*_11・基礎１),0)*_11・２人),0)*(1+_11・A夜間)),0)</f>
        <v>218</v>
      </c>
      <c r="P43" s="59"/>
    </row>
    <row r="44" spans="1:16" ht="16.5" customHeight="1" x14ac:dyDescent="0.2">
      <c r="A44" s="44">
        <v>16</v>
      </c>
      <c r="B44" s="53">
        <v>3943</v>
      </c>
      <c r="C44" s="69" t="s">
        <v>1363</v>
      </c>
      <c r="D44" s="243" t="s">
        <v>1951</v>
      </c>
      <c r="E44" s="244"/>
      <c r="F44" s="62"/>
      <c r="G44" s="60"/>
      <c r="H44" s="61"/>
      <c r="I44" s="55"/>
      <c r="J44" s="56"/>
      <c r="K44" s="57"/>
      <c r="L44" s="47"/>
      <c r="N44" s="63"/>
      <c r="O44" s="127">
        <f>ROUND((_11_A通院１増２．０*(1+_11・A夜間)),0)</f>
        <v>415</v>
      </c>
      <c r="P44" s="59"/>
    </row>
    <row r="45" spans="1:16" ht="16.5" customHeight="1" x14ac:dyDescent="0.2">
      <c r="A45" s="44">
        <v>16</v>
      </c>
      <c r="B45" s="53">
        <v>3944</v>
      </c>
      <c r="C45" s="69" t="s">
        <v>1364</v>
      </c>
      <c r="D45" s="245"/>
      <c r="E45" s="246"/>
      <c r="F45" s="54"/>
      <c r="G45" s="49"/>
      <c r="H45" s="50"/>
      <c r="I45" s="55" t="s">
        <v>396</v>
      </c>
      <c r="J45" s="56" t="s">
        <v>397</v>
      </c>
      <c r="K45" s="57">
        <v>1</v>
      </c>
      <c r="L45" s="47"/>
      <c r="N45" s="63"/>
      <c r="O45" s="127">
        <f>ROUND((ROUND((_11_A通院１増２．０*_11・２人),0)*(1+_11・A夜間)),0)</f>
        <v>415</v>
      </c>
      <c r="P45" s="59"/>
    </row>
    <row r="46" spans="1:16" ht="16.5" customHeight="1" x14ac:dyDescent="0.2">
      <c r="A46" s="44">
        <v>16</v>
      </c>
      <c r="B46" s="53">
        <v>3945</v>
      </c>
      <c r="C46" s="69" t="s">
        <v>1365</v>
      </c>
      <c r="D46" s="245"/>
      <c r="E46" s="246"/>
      <c r="F46" s="241" t="s">
        <v>398</v>
      </c>
      <c r="G46" s="60" t="s">
        <v>397</v>
      </c>
      <c r="H46" s="61">
        <v>0.7</v>
      </c>
      <c r="I46" s="55"/>
      <c r="J46" s="56"/>
      <c r="K46" s="57"/>
      <c r="L46" s="47"/>
      <c r="N46" s="63"/>
      <c r="O46" s="127">
        <f>ROUND((ROUND((_11_A通院１増２．０*_11・基礎１),0)*(1+_11・A夜間)),0)</f>
        <v>290</v>
      </c>
      <c r="P46" s="59"/>
    </row>
    <row r="47" spans="1:16" ht="16.5" customHeight="1" x14ac:dyDescent="0.2">
      <c r="A47" s="44">
        <v>16</v>
      </c>
      <c r="B47" s="53">
        <v>3946</v>
      </c>
      <c r="C47" s="69" t="s">
        <v>1366</v>
      </c>
      <c r="D47" s="84">
        <f>_11_A通院１増２．０</f>
        <v>332</v>
      </c>
      <c r="E47" s="25" t="s">
        <v>394</v>
      </c>
      <c r="F47" s="257"/>
      <c r="G47" s="49"/>
      <c r="H47" s="50"/>
      <c r="I47" s="55" t="s">
        <v>396</v>
      </c>
      <c r="J47" s="56" t="s">
        <v>397</v>
      </c>
      <c r="K47" s="57">
        <v>1</v>
      </c>
      <c r="L47" s="47"/>
      <c r="N47" s="63"/>
      <c r="O47" s="127">
        <f>ROUND((ROUND((ROUND((_11_A通院１増２．０*_11・基礎１),0)*_11・２人),0)*(1+_11・A夜間)),0)</f>
        <v>290</v>
      </c>
      <c r="P47" s="59"/>
    </row>
    <row r="48" spans="1:16" ht="16.5" customHeight="1" x14ac:dyDescent="0.2">
      <c r="A48" s="44">
        <v>16</v>
      </c>
      <c r="B48" s="44">
        <v>3947</v>
      </c>
      <c r="C48" s="45" t="s">
        <v>1367</v>
      </c>
      <c r="D48" s="245" t="s">
        <v>1952</v>
      </c>
      <c r="E48" s="246"/>
      <c r="F48" s="47"/>
      <c r="I48" s="48"/>
      <c r="J48" s="49"/>
      <c r="K48" s="50"/>
      <c r="L48" s="47"/>
      <c r="N48" s="63"/>
      <c r="O48" s="126">
        <f>ROUND((_11_A通院１増２．５*(1+_11・A夜間)),0)</f>
        <v>519</v>
      </c>
      <c r="P48" s="59"/>
    </row>
    <row r="49" spans="1:16" ht="16.5" customHeight="1" x14ac:dyDescent="0.2">
      <c r="A49" s="44">
        <v>16</v>
      </c>
      <c r="B49" s="53">
        <v>3948</v>
      </c>
      <c r="C49" s="69" t="s">
        <v>1368</v>
      </c>
      <c r="D49" s="245"/>
      <c r="E49" s="246"/>
      <c r="F49" s="54"/>
      <c r="G49" s="49"/>
      <c r="H49" s="50"/>
      <c r="I49" s="55" t="s">
        <v>396</v>
      </c>
      <c r="J49" s="56" t="s">
        <v>397</v>
      </c>
      <c r="K49" s="57">
        <v>1</v>
      </c>
      <c r="L49" s="47"/>
      <c r="N49" s="63"/>
      <c r="O49" s="127">
        <f>ROUND((ROUND((_11_A通院１増２．５*_11・２人),0)*(1+_11・A夜間)),0)</f>
        <v>519</v>
      </c>
      <c r="P49" s="59"/>
    </row>
    <row r="50" spans="1:16" ht="16.5" customHeight="1" x14ac:dyDescent="0.2">
      <c r="A50" s="44">
        <v>16</v>
      </c>
      <c r="B50" s="53">
        <v>3949</v>
      </c>
      <c r="C50" s="69" t="s">
        <v>1369</v>
      </c>
      <c r="D50" s="245"/>
      <c r="E50" s="246"/>
      <c r="F50" s="241" t="s">
        <v>398</v>
      </c>
      <c r="G50" s="60" t="s">
        <v>397</v>
      </c>
      <c r="H50" s="61">
        <v>0.7</v>
      </c>
      <c r="I50" s="55"/>
      <c r="J50" s="56"/>
      <c r="K50" s="57"/>
      <c r="L50" s="47"/>
      <c r="N50" s="63"/>
      <c r="O50" s="127">
        <f>ROUND((ROUND((_11_A通院１増２．５*_11・基礎１),0)*(1+_11・A夜間)),0)</f>
        <v>364</v>
      </c>
      <c r="P50" s="59"/>
    </row>
    <row r="51" spans="1:16" ht="16.5" customHeight="1" x14ac:dyDescent="0.2">
      <c r="A51" s="44">
        <v>16</v>
      </c>
      <c r="B51" s="53">
        <v>3950</v>
      </c>
      <c r="C51" s="69" t="s">
        <v>1370</v>
      </c>
      <c r="D51" s="84">
        <f>_11_A通院１増２．５</f>
        <v>415</v>
      </c>
      <c r="E51" s="25" t="s">
        <v>394</v>
      </c>
      <c r="F51" s="257"/>
      <c r="G51" s="49"/>
      <c r="H51" s="50"/>
      <c r="I51" s="55" t="s">
        <v>396</v>
      </c>
      <c r="J51" s="56" t="s">
        <v>397</v>
      </c>
      <c r="K51" s="57">
        <v>1</v>
      </c>
      <c r="L51" s="47"/>
      <c r="N51" s="63"/>
      <c r="O51" s="127">
        <f>ROUND((ROUND((ROUND((_11_A通院１増２．５*_11・基礎１),0)*_11・２人),0)*(1+_11・A夜間)),0)</f>
        <v>364</v>
      </c>
      <c r="P51" s="59"/>
    </row>
    <row r="52" spans="1:16" ht="16.5" customHeight="1" x14ac:dyDescent="0.2">
      <c r="A52" s="44">
        <v>16</v>
      </c>
      <c r="B52" s="53">
        <v>3951</v>
      </c>
      <c r="C52" s="69" t="s">
        <v>1371</v>
      </c>
      <c r="D52" s="243" t="s">
        <v>1953</v>
      </c>
      <c r="E52" s="244"/>
      <c r="F52" s="62"/>
      <c r="G52" s="60"/>
      <c r="H52" s="61"/>
      <c r="I52" s="55"/>
      <c r="J52" s="56"/>
      <c r="K52" s="57"/>
      <c r="L52" s="47"/>
      <c r="N52" s="63"/>
      <c r="O52" s="127">
        <f>ROUND((_11_A通院１増３．０*(1+_11・A夜間)),0)</f>
        <v>623</v>
      </c>
      <c r="P52" s="59"/>
    </row>
    <row r="53" spans="1:16" ht="16.5" customHeight="1" x14ac:dyDescent="0.2">
      <c r="A53" s="44">
        <v>16</v>
      </c>
      <c r="B53" s="53">
        <v>3952</v>
      </c>
      <c r="C53" s="69" t="s">
        <v>1372</v>
      </c>
      <c r="D53" s="245"/>
      <c r="E53" s="246"/>
      <c r="F53" s="54"/>
      <c r="G53" s="49"/>
      <c r="H53" s="50"/>
      <c r="I53" s="55" t="s">
        <v>396</v>
      </c>
      <c r="J53" s="56" t="s">
        <v>397</v>
      </c>
      <c r="K53" s="57">
        <v>1</v>
      </c>
      <c r="L53" s="47"/>
      <c r="N53" s="63"/>
      <c r="O53" s="127">
        <f>ROUND((ROUND((_11_A通院１増３．０*_11・２人),0)*(1+_11・A夜間)),0)</f>
        <v>623</v>
      </c>
      <c r="P53" s="59"/>
    </row>
    <row r="54" spans="1:16" ht="16.5" customHeight="1" x14ac:dyDescent="0.2">
      <c r="A54" s="44">
        <v>16</v>
      </c>
      <c r="B54" s="53">
        <v>3953</v>
      </c>
      <c r="C54" s="69" t="s">
        <v>1373</v>
      </c>
      <c r="D54" s="245"/>
      <c r="E54" s="246"/>
      <c r="F54" s="241" t="s">
        <v>398</v>
      </c>
      <c r="G54" s="60" t="s">
        <v>397</v>
      </c>
      <c r="H54" s="61">
        <v>0.7</v>
      </c>
      <c r="I54" s="55"/>
      <c r="J54" s="56"/>
      <c r="K54" s="57"/>
      <c r="L54" s="47"/>
      <c r="N54" s="63"/>
      <c r="O54" s="127">
        <f>ROUND((ROUND((_11_A通院１増３．０*_11・基礎１),0)*(1+_11・A夜間)),0)</f>
        <v>436</v>
      </c>
      <c r="P54" s="59"/>
    </row>
    <row r="55" spans="1:16" ht="16.5" customHeight="1" x14ac:dyDescent="0.2">
      <c r="A55" s="44">
        <v>16</v>
      </c>
      <c r="B55" s="53">
        <v>3954</v>
      </c>
      <c r="C55" s="69" t="s">
        <v>1374</v>
      </c>
      <c r="D55" s="84">
        <f>_11_A通院１増３．０</f>
        <v>498</v>
      </c>
      <c r="E55" s="25" t="s">
        <v>394</v>
      </c>
      <c r="F55" s="257"/>
      <c r="G55" s="49"/>
      <c r="H55" s="50"/>
      <c r="I55" s="55" t="s">
        <v>396</v>
      </c>
      <c r="J55" s="56" t="s">
        <v>397</v>
      </c>
      <c r="K55" s="57">
        <v>1</v>
      </c>
      <c r="L55" s="47"/>
      <c r="N55" s="63"/>
      <c r="O55" s="127">
        <f>ROUND((ROUND((ROUND((_11_A通院１増３．０*_11・基礎１),0)*_11・２人),0)*(1+_11・A夜間)),0)</f>
        <v>436</v>
      </c>
      <c r="P55" s="59"/>
    </row>
    <row r="56" spans="1:16" ht="16.5" customHeight="1" x14ac:dyDescent="0.2">
      <c r="A56" s="44">
        <v>16</v>
      </c>
      <c r="B56" s="53">
        <v>3955</v>
      </c>
      <c r="C56" s="69" t="s">
        <v>1375</v>
      </c>
      <c r="D56" s="243" t="s">
        <v>1954</v>
      </c>
      <c r="E56" s="244"/>
      <c r="F56" s="62"/>
      <c r="G56" s="60"/>
      <c r="H56" s="61"/>
      <c r="I56" s="55"/>
      <c r="J56" s="56"/>
      <c r="K56" s="57"/>
      <c r="L56" s="47"/>
      <c r="N56" s="63"/>
      <c r="O56" s="127">
        <f>ROUND((_11_A通院１増３．５*(1+_11・A夜間)),0)</f>
        <v>726</v>
      </c>
      <c r="P56" s="59"/>
    </row>
    <row r="57" spans="1:16" ht="16.5" customHeight="1" x14ac:dyDescent="0.2">
      <c r="A57" s="44">
        <v>16</v>
      </c>
      <c r="B57" s="53">
        <v>3956</v>
      </c>
      <c r="C57" s="69" t="s">
        <v>1376</v>
      </c>
      <c r="D57" s="245"/>
      <c r="E57" s="246"/>
      <c r="F57" s="54"/>
      <c r="G57" s="49"/>
      <c r="H57" s="50"/>
      <c r="I57" s="55" t="s">
        <v>396</v>
      </c>
      <c r="J57" s="56" t="s">
        <v>397</v>
      </c>
      <c r="K57" s="57">
        <v>1</v>
      </c>
      <c r="L57" s="47"/>
      <c r="N57" s="63"/>
      <c r="O57" s="127">
        <f>ROUND((ROUND((_11_A通院１増３．５*_11・２人),0)*(1+_11・A夜間)),0)</f>
        <v>726</v>
      </c>
      <c r="P57" s="59"/>
    </row>
    <row r="58" spans="1:16" ht="16.5" customHeight="1" x14ac:dyDescent="0.2">
      <c r="A58" s="44">
        <v>16</v>
      </c>
      <c r="B58" s="53">
        <v>3957</v>
      </c>
      <c r="C58" s="69" t="s">
        <v>1377</v>
      </c>
      <c r="D58" s="245"/>
      <c r="E58" s="246"/>
      <c r="F58" s="241" t="s">
        <v>398</v>
      </c>
      <c r="G58" s="60" t="s">
        <v>397</v>
      </c>
      <c r="H58" s="61">
        <v>0.7</v>
      </c>
      <c r="I58" s="55"/>
      <c r="J58" s="56"/>
      <c r="K58" s="57"/>
      <c r="L58" s="47"/>
      <c r="N58" s="63"/>
      <c r="O58" s="127">
        <f>ROUND((ROUND((_11_A通院１増３．５*_11・基礎１),0)*(1+_11・A夜間)),0)</f>
        <v>509</v>
      </c>
      <c r="P58" s="59"/>
    </row>
    <row r="59" spans="1:16" ht="16.5" customHeight="1" x14ac:dyDescent="0.2">
      <c r="A59" s="44">
        <v>16</v>
      </c>
      <c r="B59" s="53">
        <v>3958</v>
      </c>
      <c r="C59" s="69" t="s">
        <v>1378</v>
      </c>
      <c r="D59" s="84">
        <f>_11_A通院１増３．５</f>
        <v>581</v>
      </c>
      <c r="E59" s="25" t="s">
        <v>394</v>
      </c>
      <c r="F59" s="257"/>
      <c r="G59" s="49"/>
      <c r="H59" s="50"/>
      <c r="I59" s="55" t="s">
        <v>396</v>
      </c>
      <c r="J59" s="56" t="s">
        <v>397</v>
      </c>
      <c r="K59" s="57">
        <v>1</v>
      </c>
      <c r="L59" s="47"/>
      <c r="N59" s="63"/>
      <c r="O59" s="127">
        <f>ROUND((ROUND((ROUND((_11_A通院１増３．５*_11・基礎１),0)*_11・２人),0)*(1+_11・A夜間)),0)</f>
        <v>509</v>
      </c>
      <c r="P59" s="59"/>
    </row>
    <row r="60" spans="1:16" ht="16.5" customHeight="1" x14ac:dyDescent="0.2">
      <c r="A60" s="44">
        <v>16</v>
      </c>
      <c r="B60" s="53">
        <v>3959</v>
      </c>
      <c r="C60" s="69" t="s">
        <v>1379</v>
      </c>
      <c r="D60" s="243" t="s">
        <v>1955</v>
      </c>
      <c r="E60" s="244"/>
      <c r="F60" s="62"/>
      <c r="G60" s="60"/>
      <c r="H60" s="61"/>
      <c r="I60" s="55"/>
      <c r="J60" s="56"/>
      <c r="K60" s="57"/>
      <c r="L60" s="47"/>
      <c r="N60" s="63"/>
      <c r="O60" s="127">
        <f>ROUND((_11_A通院１増４．０*(1+_11・A夜間)),0)</f>
        <v>830</v>
      </c>
      <c r="P60" s="59"/>
    </row>
    <row r="61" spans="1:16" ht="16.5" customHeight="1" x14ac:dyDescent="0.2">
      <c r="A61" s="44">
        <v>16</v>
      </c>
      <c r="B61" s="53">
        <v>3960</v>
      </c>
      <c r="C61" s="69" t="s">
        <v>1380</v>
      </c>
      <c r="D61" s="245"/>
      <c r="E61" s="246"/>
      <c r="F61" s="54"/>
      <c r="G61" s="49"/>
      <c r="H61" s="50"/>
      <c r="I61" s="55" t="s">
        <v>396</v>
      </c>
      <c r="J61" s="56" t="s">
        <v>397</v>
      </c>
      <c r="K61" s="57">
        <v>1</v>
      </c>
      <c r="L61" s="47"/>
      <c r="N61" s="63"/>
      <c r="O61" s="127">
        <f>ROUND((ROUND((_11_A通院１増４．０*_11・２人),0)*(1+_11・A夜間)),0)</f>
        <v>830</v>
      </c>
      <c r="P61" s="59"/>
    </row>
    <row r="62" spans="1:16" ht="16.5" customHeight="1" x14ac:dyDescent="0.2">
      <c r="A62" s="44">
        <v>16</v>
      </c>
      <c r="B62" s="53">
        <v>3961</v>
      </c>
      <c r="C62" s="69" t="s">
        <v>1381</v>
      </c>
      <c r="D62" s="245"/>
      <c r="E62" s="246"/>
      <c r="F62" s="241" t="s">
        <v>398</v>
      </c>
      <c r="G62" s="60" t="s">
        <v>397</v>
      </c>
      <c r="H62" s="61">
        <v>0.7</v>
      </c>
      <c r="I62" s="55"/>
      <c r="J62" s="56"/>
      <c r="K62" s="57"/>
      <c r="L62" s="47"/>
      <c r="N62" s="63"/>
      <c r="O62" s="127">
        <f>ROUND((ROUND((_11_A通院１増４．０*_11・基礎１),0)*(1+_11・A夜間)),0)</f>
        <v>581</v>
      </c>
      <c r="P62" s="59"/>
    </row>
    <row r="63" spans="1:16" ht="16.5" customHeight="1" x14ac:dyDescent="0.2">
      <c r="A63" s="44">
        <v>16</v>
      </c>
      <c r="B63" s="53">
        <v>3962</v>
      </c>
      <c r="C63" s="69" t="s">
        <v>1382</v>
      </c>
      <c r="D63" s="84">
        <f>_11_A通院１増４．０</f>
        <v>664</v>
      </c>
      <c r="E63" s="25" t="s">
        <v>394</v>
      </c>
      <c r="F63" s="257"/>
      <c r="G63" s="49"/>
      <c r="H63" s="50"/>
      <c r="I63" s="55" t="s">
        <v>396</v>
      </c>
      <c r="J63" s="56" t="s">
        <v>397</v>
      </c>
      <c r="K63" s="57">
        <v>1</v>
      </c>
      <c r="L63" s="47"/>
      <c r="N63" s="63"/>
      <c r="O63" s="127">
        <f>ROUND((ROUND((ROUND((_11_A通院１増４．０*_11・基礎１),0)*_11・２人),0)*(1+_11・A夜間)),0)</f>
        <v>581</v>
      </c>
      <c r="P63" s="59"/>
    </row>
    <row r="64" spans="1:16" ht="16.5" customHeight="1" x14ac:dyDescent="0.2">
      <c r="A64" s="44">
        <v>16</v>
      </c>
      <c r="B64" s="53">
        <v>3963</v>
      </c>
      <c r="C64" s="69" t="s">
        <v>1383</v>
      </c>
      <c r="D64" s="243" t="s">
        <v>1956</v>
      </c>
      <c r="E64" s="244"/>
      <c r="F64" s="62"/>
      <c r="G64" s="60"/>
      <c r="H64" s="61"/>
      <c r="I64" s="55"/>
      <c r="J64" s="56"/>
      <c r="K64" s="57"/>
      <c r="L64" s="47"/>
      <c r="M64" s="176"/>
      <c r="N64" s="63"/>
      <c r="O64" s="127">
        <f>ROUND((_11_A通院１増４．５*(1+_11・A夜間)),0)</f>
        <v>934</v>
      </c>
      <c r="P64" s="59"/>
    </row>
    <row r="65" spans="1:16" ht="16.5" customHeight="1" x14ac:dyDescent="0.2">
      <c r="A65" s="44">
        <v>16</v>
      </c>
      <c r="B65" s="53">
        <v>3964</v>
      </c>
      <c r="C65" s="69" t="s">
        <v>1384</v>
      </c>
      <c r="D65" s="245"/>
      <c r="E65" s="246"/>
      <c r="F65" s="54"/>
      <c r="G65" s="49"/>
      <c r="H65" s="50"/>
      <c r="I65" s="55" t="s">
        <v>396</v>
      </c>
      <c r="J65" s="56" t="s">
        <v>397</v>
      </c>
      <c r="K65" s="57">
        <v>1</v>
      </c>
      <c r="L65" s="47"/>
      <c r="M65" s="176"/>
      <c r="N65" s="63"/>
      <c r="O65" s="127">
        <f>ROUND((ROUND((_11_A通院１増４．５*_11・２人),0)*(1+_11・A夜間)),0)</f>
        <v>934</v>
      </c>
      <c r="P65" s="59"/>
    </row>
    <row r="66" spans="1:16" ht="16.5" customHeight="1" x14ac:dyDescent="0.2">
      <c r="A66" s="44">
        <v>16</v>
      </c>
      <c r="B66" s="53">
        <v>3965</v>
      </c>
      <c r="C66" s="69" t="s">
        <v>1385</v>
      </c>
      <c r="D66" s="245"/>
      <c r="E66" s="246"/>
      <c r="F66" s="241" t="s">
        <v>398</v>
      </c>
      <c r="G66" s="60" t="s">
        <v>397</v>
      </c>
      <c r="H66" s="61">
        <v>0.7</v>
      </c>
      <c r="I66" s="55"/>
      <c r="J66" s="56"/>
      <c r="K66" s="57"/>
      <c r="L66" s="47"/>
      <c r="M66" s="176"/>
      <c r="N66" s="63"/>
      <c r="O66" s="127">
        <f>ROUND((ROUND((_11_A通院１増４．５*_11・基礎１),0)*(1+_11・A夜間)),0)</f>
        <v>654</v>
      </c>
      <c r="P66" s="59"/>
    </row>
    <row r="67" spans="1:16" ht="16.5" customHeight="1" x14ac:dyDescent="0.2">
      <c r="A67" s="44">
        <v>16</v>
      </c>
      <c r="B67" s="53">
        <v>3966</v>
      </c>
      <c r="C67" s="69" t="s">
        <v>1386</v>
      </c>
      <c r="D67" s="110">
        <f>_11_A通院１増４．５</f>
        <v>747</v>
      </c>
      <c r="E67" s="49" t="s">
        <v>394</v>
      </c>
      <c r="F67" s="257"/>
      <c r="G67" s="49"/>
      <c r="H67" s="50"/>
      <c r="I67" s="55" t="s">
        <v>396</v>
      </c>
      <c r="J67" s="56" t="s">
        <v>397</v>
      </c>
      <c r="K67" s="57">
        <v>1</v>
      </c>
      <c r="L67" s="54"/>
      <c r="M67" s="50"/>
      <c r="N67" s="97"/>
      <c r="O67" s="127">
        <f>ROUND((ROUND((ROUND((_11_A通院１増４．５*_11・基礎１),0)*_11・２人),0)*(1+_11・A夜間)),0)</f>
        <v>654</v>
      </c>
      <c r="P67" s="111"/>
    </row>
    <row r="68" spans="1:16" ht="16.5" customHeight="1" x14ac:dyDescent="0.2"/>
    <row r="69" spans="1:16" ht="16.5" customHeight="1" x14ac:dyDescent="0.2"/>
  </sheetData>
  <mergeCells count="30">
    <mergeCell ref="D7:E9"/>
    <mergeCell ref="N8:N9"/>
    <mergeCell ref="F9:F10"/>
    <mergeCell ref="N33:N34"/>
    <mergeCell ref="F34:F35"/>
    <mergeCell ref="D15:E17"/>
    <mergeCell ref="F17:F18"/>
    <mergeCell ref="D11:E13"/>
    <mergeCell ref="F13:F14"/>
    <mergeCell ref="D36:E38"/>
    <mergeCell ref="F38:F39"/>
    <mergeCell ref="D40:E42"/>
    <mergeCell ref="F42:F43"/>
    <mergeCell ref="D19:E21"/>
    <mergeCell ref="F21:F22"/>
    <mergeCell ref="D23:E25"/>
    <mergeCell ref="F25:F26"/>
    <mergeCell ref="D32:E34"/>
    <mergeCell ref="D48:E50"/>
    <mergeCell ref="F50:F51"/>
    <mergeCell ref="D52:E54"/>
    <mergeCell ref="F54:F55"/>
    <mergeCell ref="D44:E46"/>
    <mergeCell ref="F46:F47"/>
    <mergeCell ref="D60:E62"/>
    <mergeCell ref="F62:F63"/>
    <mergeCell ref="D64:E66"/>
    <mergeCell ref="F66:F67"/>
    <mergeCell ref="D56:E58"/>
    <mergeCell ref="F58:F5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X69"/>
  <sheetViews>
    <sheetView workbookViewId="0">
      <selection activeCell="A2" sqref="A2"/>
    </sheetView>
  </sheetViews>
  <sheetFormatPr defaultColWidth="8.90625" defaultRowHeight="14" x14ac:dyDescent="0.2"/>
  <cols>
    <col min="1" max="1" width="4.6328125" style="22" customWidth="1"/>
    <col min="2" max="2" width="7.6328125" style="22" customWidth="1"/>
    <col min="3" max="3" width="33.6328125" style="23" bestFit="1" customWidth="1"/>
    <col min="4" max="4" width="4.90625" style="23" customWidth="1"/>
    <col min="5" max="5" width="4.453125" style="90" bestFit="1" customWidth="1"/>
    <col min="6" max="6" width="11.90625" style="25" customWidth="1"/>
    <col min="7" max="7" width="3.453125" style="25" bestFit="1" customWidth="1"/>
    <col min="8" max="8" width="4.453125" style="26" bestFit="1" customWidth="1"/>
    <col min="9" max="9" width="25.36328125" style="27" bestFit="1" customWidth="1"/>
    <col min="10" max="10" width="3.453125" style="25" bestFit="1" customWidth="1"/>
    <col min="11" max="11" width="5.453125" style="26" bestFit="1" customWidth="1"/>
    <col min="12" max="12" width="3.453125" style="25" bestFit="1" customWidth="1"/>
    <col min="13" max="13" width="4.453125" style="26" bestFit="1" customWidth="1"/>
    <col min="14" max="14" width="5.36328125" style="25" bestFit="1" customWidth="1"/>
    <col min="15" max="15" width="7.08984375" style="125" customWidth="1"/>
    <col min="16" max="16" width="8.6328125" style="29" customWidth="1"/>
    <col min="17" max="21" width="8.90625" style="25"/>
    <col min="22" max="22" width="7.6328125" style="22" customWidth="1"/>
    <col min="23" max="16384" width="8.90625" style="25"/>
  </cols>
  <sheetData>
    <row r="1" spans="1:24" ht="17.149999999999999" customHeight="1" x14ac:dyDescent="0.2"/>
    <row r="2" spans="1:24" ht="17.149999999999999" customHeight="1" x14ac:dyDescent="0.2">
      <c r="A2" s="236" t="s">
        <v>2795</v>
      </c>
    </row>
    <row r="3" spans="1:24" ht="17.149999999999999" customHeight="1" x14ac:dyDescent="0.2"/>
    <row r="4" spans="1:24" ht="17.149999999999999" customHeight="1" x14ac:dyDescent="0.2">
      <c r="B4" s="30" t="s">
        <v>2097</v>
      </c>
      <c r="D4" s="65"/>
      <c r="V4" s="30" t="s">
        <v>2097</v>
      </c>
    </row>
    <row r="5" spans="1:24" ht="16.5" customHeight="1" x14ac:dyDescent="0.2">
      <c r="A5" s="31" t="s">
        <v>386</v>
      </c>
      <c r="B5" s="32"/>
      <c r="C5" s="33" t="s">
        <v>387</v>
      </c>
      <c r="D5" s="34" t="s">
        <v>388</v>
      </c>
      <c r="E5" s="91"/>
      <c r="F5" s="34"/>
      <c r="G5" s="34"/>
      <c r="H5" s="35"/>
      <c r="I5" s="34"/>
      <c r="J5" s="34"/>
      <c r="K5" s="35"/>
      <c r="L5" s="34"/>
      <c r="M5" s="35"/>
      <c r="N5" s="34"/>
      <c r="O5" s="33" t="s">
        <v>389</v>
      </c>
      <c r="P5" s="33" t="s">
        <v>390</v>
      </c>
      <c r="V5" s="32"/>
    </row>
    <row r="6" spans="1:24" ht="16.5" customHeight="1" x14ac:dyDescent="0.2">
      <c r="A6" s="37" t="s">
        <v>391</v>
      </c>
      <c r="B6" s="37" t="s">
        <v>392</v>
      </c>
      <c r="C6" s="38"/>
      <c r="D6" s="40"/>
      <c r="E6" s="93"/>
      <c r="F6" s="40"/>
      <c r="G6" s="40"/>
      <c r="H6" s="41"/>
      <c r="I6" s="40"/>
      <c r="J6" s="40"/>
      <c r="K6" s="41"/>
      <c r="L6" s="40"/>
      <c r="M6" s="41"/>
      <c r="N6" s="40"/>
      <c r="O6" s="43" t="s">
        <v>393</v>
      </c>
      <c r="P6" s="43" t="s">
        <v>394</v>
      </c>
      <c r="V6" s="37" t="s">
        <v>392</v>
      </c>
      <c r="X6" s="25" t="s">
        <v>2790</v>
      </c>
    </row>
    <row r="7" spans="1:24" ht="16.5" customHeight="1" x14ac:dyDescent="0.2">
      <c r="A7" s="184">
        <v>16</v>
      </c>
      <c r="B7" s="184">
        <v>4373</v>
      </c>
      <c r="C7" s="207" t="s">
        <v>2099</v>
      </c>
      <c r="D7" s="259" t="s">
        <v>1943</v>
      </c>
      <c r="E7" s="260"/>
      <c r="F7" s="185"/>
      <c r="G7" s="186"/>
      <c r="H7" s="187"/>
      <c r="I7" s="188"/>
      <c r="J7" s="189"/>
      <c r="K7" s="190"/>
      <c r="L7" s="208" t="s">
        <v>399</v>
      </c>
      <c r="M7" s="187"/>
      <c r="N7" s="209"/>
      <c r="O7" s="212">
        <v>105</v>
      </c>
      <c r="P7" s="192" t="s">
        <v>395</v>
      </c>
      <c r="V7" s="184" t="s">
        <v>2294</v>
      </c>
    </row>
    <row r="8" spans="1:24" ht="16.5" customHeight="1" x14ac:dyDescent="0.2">
      <c r="A8" s="193">
        <v>16</v>
      </c>
      <c r="B8" s="184">
        <v>4374</v>
      </c>
      <c r="C8" s="210" t="s">
        <v>2100</v>
      </c>
      <c r="D8" s="261"/>
      <c r="E8" s="260"/>
      <c r="F8" s="194"/>
      <c r="G8" s="189"/>
      <c r="H8" s="190"/>
      <c r="I8" s="195" t="s">
        <v>396</v>
      </c>
      <c r="J8" s="196" t="s">
        <v>397</v>
      </c>
      <c r="K8" s="197">
        <v>1</v>
      </c>
      <c r="L8" s="185" t="s">
        <v>397</v>
      </c>
      <c r="M8" s="187">
        <v>0.25</v>
      </c>
      <c r="N8" s="266" t="s">
        <v>400</v>
      </c>
      <c r="O8" s="213">
        <v>105</v>
      </c>
      <c r="P8" s="199"/>
      <c r="V8" s="184" t="s">
        <v>2295</v>
      </c>
    </row>
    <row r="9" spans="1:24" ht="16.5" customHeight="1" x14ac:dyDescent="0.2">
      <c r="A9" s="193">
        <v>16</v>
      </c>
      <c r="B9" s="184">
        <v>4375</v>
      </c>
      <c r="C9" s="210" t="s">
        <v>2101</v>
      </c>
      <c r="D9" s="261"/>
      <c r="E9" s="260"/>
      <c r="F9" s="262" t="s">
        <v>398</v>
      </c>
      <c r="G9" s="200" t="s">
        <v>397</v>
      </c>
      <c r="H9" s="201">
        <v>0.7</v>
      </c>
      <c r="I9" s="195"/>
      <c r="J9" s="196"/>
      <c r="K9" s="197"/>
      <c r="L9" s="185"/>
      <c r="M9" s="187"/>
      <c r="N9" s="267"/>
      <c r="O9" s="213">
        <v>74</v>
      </c>
      <c r="P9" s="199"/>
      <c r="V9" s="184" t="s">
        <v>2296</v>
      </c>
    </row>
    <row r="10" spans="1:24" ht="16.5" customHeight="1" x14ac:dyDescent="0.2">
      <c r="A10" s="193">
        <v>16</v>
      </c>
      <c r="B10" s="184">
        <v>4376</v>
      </c>
      <c r="C10" s="210" t="s">
        <v>2102</v>
      </c>
      <c r="D10" s="203">
        <v>84</v>
      </c>
      <c r="E10" s="186" t="s">
        <v>394</v>
      </c>
      <c r="F10" s="263"/>
      <c r="G10" s="189"/>
      <c r="H10" s="190"/>
      <c r="I10" s="195" t="s">
        <v>396</v>
      </c>
      <c r="J10" s="196" t="s">
        <v>397</v>
      </c>
      <c r="K10" s="197">
        <v>1</v>
      </c>
      <c r="L10" s="185"/>
      <c r="M10" s="187"/>
      <c r="N10" s="209"/>
      <c r="O10" s="213">
        <v>74</v>
      </c>
      <c r="P10" s="199"/>
      <c r="V10" s="184" t="s">
        <v>2297</v>
      </c>
    </row>
    <row r="11" spans="1:24" ht="16.5" customHeight="1" x14ac:dyDescent="0.2">
      <c r="A11" s="193">
        <v>16</v>
      </c>
      <c r="B11" s="184">
        <v>4377</v>
      </c>
      <c r="C11" s="210" t="s">
        <v>2103</v>
      </c>
      <c r="D11" s="264" t="s">
        <v>1944</v>
      </c>
      <c r="E11" s="265"/>
      <c r="F11" s="202"/>
      <c r="G11" s="200"/>
      <c r="H11" s="201"/>
      <c r="I11" s="195"/>
      <c r="J11" s="196"/>
      <c r="K11" s="197"/>
      <c r="L11" s="185"/>
      <c r="M11" s="187"/>
      <c r="N11" s="209"/>
      <c r="O11" s="213">
        <v>209</v>
      </c>
      <c r="P11" s="199"/>
      <c r="V11" s="184" t="s">
        <v>2298</v>
      </c>
    </row>
    <row r="12" spans="1:24" ht="16.5" customHeight="1" x14ac:dyDescent="0.2">
      <c r="A12" s="193">
        <v>16</v>
      </c>
      <c r="B12" s="184">
        <v>4378</v>
      </c>
      <c r="C12" s="210" t="s">
        <v>2104</v>
      </c>
      <c r="D12" s="261"/>
      <c r="E12" s="260"/>
      <c r="F12" s="194"/>
      <c r="G12" s="189"/>
      <c r="H12" s="190"/>
      <c r="I12" s="195" t="s">
        <v>396</v>
      </c>
      <c r="J12" s="196" t="s">
        <v>397</v>
      </c>
      <c r="K12" s="197">
        <v>1</v>
      </c>
      <c r="L12" s="185"/>
      <c r="M12" s="187"/>
      <c r="N12" s="209"/>
      <c r="O12" s="213">
        <v>209</v>
      </c>
      <c r="P12" s="199"/>
      <c r="V12" s="184" t="s">
        <v>2299</v>
      </c>
    </row>
    <row r="13" spans="1:24" ht="16.5" customHeight="1" x14ac:dyDescent="0.2">
      <c r="A13" s="193">
        <v>16</v>
      </c>
      <c r="B13" s="184">
        <v>4379</v>
      </c>
      <c r="C13" s="210" t="s">
        <v>2105</v>
      </c>
      <c r="D13" s="261"/>
      <c r="E13" s="260"/>
      <c r="F13" s="262" t="s">
        <v>398</v>
      </c>
      <c r="G13" s="200" t="s">
        <v>397</v>
      </c>
      <c r="H13" s="201">
        <v>0.7</v>
      </c>
      <c r="I13" s="195"/>
      <c r="J13" s="196"/>
      <c r="K13" s="197"/>
      <c r="L13" s="185"/>
      <c r="M13" s="187"/>
      <c r="N13" s="209"/>
      <c r="O13" s="213">
        <v>146</v>
      </c>
      <c r="P13" s="199"/>
      <c r="V13" s="184" t="s">
        <v>2300</v>
      </c>
    </row>
    <row r="14" spans="1:24" ht="16.5" customHeight="1" x14ac:dyDescent="0.2">
      <c r="A14" s="193">
        <v>16</v>
      </c>
      <c r="B14" s="184">
        <v>4380</v>
      </c>
      <c r="C14" s="210" t="s">
        <v>2106</v>
      </c>
      <c r="D14" s="203">
        <v>167</v>
      </c>
      <c r="E14" s="186" t="s">
        <v>394</v>
      </c>
      <c r="F14" s="261"/>
      <c r="G14" s="189"/>
      <c r="H14" s="190"/>
      <c r="I14" s="195" t="s">
        <v>396</v>
      </c>
      <c r="J14" s="196" t="s">
        <v>397</v>
      </c>
      <c r="K14" s="197">
        <v>1</v>
      </c>
      <c r="L14" s="185"/>
      <c r="M14" s="187"/>
      <c r="N14" s="209"/>
      <c r="O14" s="213">
        <v>146</v>
      </c>
      <c r="P14" s="199"/>
      <c r="V14" s="184" t="s">
        <v>2301</v>
      </c>
    </row>
    <row r="15" spans="1:24" ht="16.5" customHeight="1" x14ac:dyDescent="0.2">
      <c r="A15" s="193">
        <v>16</v>
      </c>
      <c r="B15" s="184">
        <v>4381</v>
      </c>
      <c r="C15" s="210" t="s">
        <v>2107</v>
      </c>
      <c r="D15" s="264" t="s">
        <v>1945</v>
      </c>
      <c r="E15" s="265"/>
      <c r="F15" s="202"/>
      <c r="G15" s="200"/>
      <c r="H15" s="201"/>
      <c r="I15" s="195"/>
      <c r="J15" s="196"/>
      <c r="K15" s="197"/>
      <c r="L15" s="185"/>
      <c r="M15" s="187"/>
      <c r="N15" s="209"/>
      <c r="O15" s="213">
        <v>313</v>
      </c>
      <c r="P15" s="199"/>
      <c r="V15" s="184" t="s">
        <v>2302</v>
      </c>
    </row>
    <row r="16" spans="1:24" ht="16.5" customHeight="1" x14ac:dyDescent="0.2">
      <c r="A16" s="193">
        <v>16</v>
      </c>
      <c r="B16" s="184">
        <v>4382</v>
      </c>
      <c r="C16" s="210" t="s">
        <v>2108</v>
      </c>
      <c r="D16" s="261"/>
      <c r="E16" s="260"/>
      <c r="F16" s="194"/>
      <c r="G16" s="189"/>
      <c r="H16" s="190"/>
      <c r="I16" s="195" t="s">
        <v>396</v>
      </c>
      <c r="J16" s="196" t="s">
        <v>397</v>
      </c>
      <c r="K16" s="197">
        <v>1</v>
      </c>
      <c r="L16" s="185"/>
      <c r="M16" s="187"/>
      <c r="N16" s="209"/>
      <c r="O16" s="213">
        <v>313</v>
      </c>
      <c r="P16" s="199"/>
      <c r="V16" s="184" t="s">
        <v>2303</v>
      </c>
    </row>
    <row r="17" spans="1:22" ht="16.5" customHeight="1" x14ac:dyDescent="0.2">
      <c r="A17" s="193">
        <v>16</v>
      </c>
      <c r="B17" s="184">
        <v>4383</v>
      </c>
      <c r="C17" s="210" t="s">
        <v>2109</v>
      </c>
      <c r="D17" s="261"/>
      <c r="E17" s="260"/>
      <c r="F17" s="262" t="s">
        <v>398</v>
      </c>
      <c r="G17" s="200" t="s">
        <v>397</v>
      </c>
      <c r="H17" s="201">
        <v>0.7</v>
      </c>
      <c r="I17" s="195"/>
      <c r="J17" s="196"/>
      <c r="K17" s="197"/>
      <c r="L17" s="185"/>
      <c r="M17" s="187"/>
      <c r="N17" s="209"/>
      <c r="O17" s="213">
        <v>219</v>
      </c>
      <c r="P17" s="199"/>
      <c r="V17" s="184" t="s">
        <v>2304</v>
      </c>
    </row>
    <row r="18" spans="1:22" ht="16.5" customHeight="1" x14ac:dyDescent="0.2">
      <c r="A18" s="193">
        <v>16</v>
      </c>
      <c r="B18" s="184">
        <v>4384</v>
      </c>
      <c r="C18" s="210" t="s">
        <v>2110</v>
      </c>
      <c r="D18" s="203">
        <v>250</v>
      </c>
      <c r="E18" s="186" t="s">
        <v>394</v>
      </c>
      <c r="F18" s="263"/>
      <c r="G18" s="189"/>
      <c r="H18" s="190"/>
      <c r="I18" s="195" t="s">
        <v>396</v>
      </c>
      <c r="J18" s="196" t="s">
        <v>397</v>
      </c>
      <c r="K18" s="197">
        <v>1</v>
      </c>
      <c r="L18" s="185"/>
      <c r="M18" s="187"/>
      <c r="N18" s="209"/>
      <c r="O18" s="213">
        <v>219</v>
      </c>
      <c r="P18" s="199"/>
      <c r="V18" s="184" t="s">
        <v>2305</v>
      </c>
    </row>
    <row r="19" spans="1:22" ht="16.5" customHeight="1" x14ac:dyDescent="0.2">
      <c r="A19" s="193">
        <v>16</v>
      </c>
      <c r="B19" s="184">
        <v>4385</v>
      </c>
      <c r="C19" s="210" t="s">
        <v>2111</v>
      </c>
      <c r="D19" s="264" t="s">
        <v>1946</v>
      </c>
      <c r="E19" s="265"/>
      <c r="F19" s="202"/>
      <c r="G19" s="200"/>
      <c r="H19" s="201"/>
      <c r="I19" s="195"/>
      <c r="J19" s="196"/>
      <c r="K19" s="197"/>
      <c r="L19" s="185"/>
      <c r="M19" s="187"/>
      <c r="N19" s="209"/>
      <c r="O19" s="213">
        <v>416</v>
      </c>
      <c r="P19" s="199"/>
      <c r="V19" s="184" t="s">
        <v>2306</v>
      </c>
    </row>
    <row r="20" spans="1:22" ht="16.5" customHeight="1" x14ac:dyDescent="0.2">
      <c r="A20" s="193">
        <v>16</v>
      </c>
      <c r="B20" s="184">
        <v>4386</v>
      </c>
      <c r="C20" s="210" t="s">
        <v>2112</v>
      </c>
      <c r="D20" s="261"/>
      <c r="E20" s="260"/>
      <c r="F20" s="194"/>
      <c r="G20" s="189"/>
      <c r="H20" s="190"/>
      <c r="I20" s="195" t="s">
        <v>396</v>
      </c>
      <c r="J20" s="196" t="s">
        <v>397</v>
      </c>
      <c r="K20" s="197">
        <v>1</v>
      </c>
      <c r="L20" s="185"/>
      <c r="M20" s="187"/>
      <c r="N20" s="209"/>
      <c r="O20" s="213">
        <v>416</v>
      </c>
      <c r="P20" s="199"/>
      <c r="V20" s="184" t="s">
        <v>2307</v>
      </c>
    </row>
    <row r="21" spans="1:22" ht="16.5" customHeight="1" x14ac:dyDescent="0.2">
      <c r="A21" s="193">
        <v>16</v>
      </c>
      <c r="B21" s="184">
        <v>4387</v>
      </c>
      <c r="C21" s="210" t="s">
        <v>2113</v>
      </c>
      <c r="D21" s="261"/>
      <c r="E21" s="260"/>
      <c r="F21" s="262" t="s">
        <v>398</v>
      </c>
      <c r="G21" s="200" t="s">
        <v>397</v>
      </c>
      <c r="H21" s="201">
        <v>0.7</v>
      </c>
      <c r="I21" s="195"/>
      <c r="J21" s="196"/>
      <c r="K21" s="197"/>
      <c r="L21" s="185"/>
      <c r="M21" s="187"/>
      <c r="N21" s="209"/>
      <c r="O21" s="213">
        <v>291</v>
      </c>
      <c r="P21" s="199"/>
      <c r="V21" s="184" t="s">
        <v>2308</v>
      </c>
    </row>
    <row r="22" spans="1:22" ht="16.5" customHeight="1" x14ac:dyDescent="0.2">
      <c r="A22" s="193">
        <v>16</v>
      </c>
      <c r="B22" s="184">
        <v>4388</v>
      </c>
      <c r="C22" s="210" t="s">
        <v>2114</v>
      </c>
      <c r="D22" s="203">
        <v>333</v>
      </c>
      <c r="E22" s="186" t="s">
        <v>394</v>
      </c>
      <c r="F22" s="263"/>
      <c r="G22" s="189"/>
      <c r="H22" s="190"/>
      <c r="I22" s="195" t="s">
        <v>396</v>
      </c>
      <c r="J22" s="196" t="s">
        <v>397</v>
      </c>
      <c r="K22" s="197">
        <v>1</v>
      </c>
      <c r="L22" s="185"/>
      <c r="M22" s="187"/>
      <c r="N22" s="209"/>
      <c r="O22" s="213">
        <v>291</v>
      </c>
      <c r="P22" s="199"/>
      <c r="V22" s="184" t="s">
        <v>2309</v>
      </c>
    </row>
    <row r="23" spans="1:22" ht="16.5" customHeight="1" x14ac:dyDescent="0.2">
      <c r="A23" s="193">
        <v>16</v>
      </c>
      <c r="B23" s="184">
        <v>4389</v>
      </c>
      <c r="C23" s="210" t="s">
        <v>2115</v>
      </c>
      <c r="D23" s="264" t="s">
        <v>1947</v>
      </c>
      <c r="E23" s="265"/>
      <c r="F23" s="202"/>
      <c r="G23" s="200"/>
      <c r="H23" s="201"/>
      <c r="I23" s="195"/>
      <c r="J23" s="196"/>
      <c r="K23" s="197"/>
      <c r="L23" s="185"/>
      <c r="M23" s="187"/>
      <c r="N23" s="209"/>
      <c r="O23" s="213">
        <v>520</v>
      </c>
      <c r="P23" s="199"/>
      <c r="V23" s="184" t="s">
        <v>2310</v>
      </c>
    </row>
    <row r="24" spans="1:22" ht="16.5" customHeight="1" x14ac:dyDescent="0.2">
      <c r="A24" s="193">
        <v>16</v>
      </c>
      <c r="B24" s="184">
        <v>4390</v>
      </c>
      <c r="C24" s="210" t="s">
        <v>2116</v>
      </c>
      <c r="D24" s="261"/>
      <c r="E24" s="260"/>
      <c r="F24" s="194"/>
      <c r="G24" s="189"/>
      <c r="H24" s="190"/>
      <c r="I24" s="195" t="s">
        <v>396</v>
      </c>
      <c r="J24" s="196" t="s">
        <v>397</v>
      </c>
      <c r="K24" s="197">
        <v>1</v>
      </c>
      <c r="L24" s="185"/>
      <c r="M24" s="187"/>
      <c r="N24" s="209"/>
      <c r="O24" s="213">
        <v>520</v>
      </c>
      <c r="P24" s="199"/>
      <c r="V24" s="184" t="s">
        <v>2311</v>
      </c>
    </row>
    <row r="25" spans="1:22" ht="16.5" customHeight="1" x14ac:dyDescent="0.2">
      <c r="A25" s="193">
        <v>16</v>
      </c>
      <c r="B25" s="184">
        <v>4391</v>
      </c>
      <c r="C25" s="210" t="s">
        <v>2117</v>
      </c>
      <c r="D25" s="261"/>
      <c r="E25" s="260"/>
      <c r="F25" s="262" t="s">
        <v>398</v>
      </c>
      <c r="G25" s="200" t="s">
        <v>397</v>
      </c>
      <c r="H25" s="201">
        <v>0.7</v>
      </c>
      <c r="I25" s="195"/>
      <c r="J25" s="196"/>
      <c r="K25" s="197"/>
      <c r="L25" s="185"/>
      <c r="M25" s="187"/>
      <c r="N25" s="209"/>
      <c r="O25" s="213">
        <v>364</v>
      </c>
      <c r="P25" s="199"/>
      <c r="V25" s="184" t="s">
        <v>2312</v>
      </c>
    </row>
    <row r="26" spans="1:22" ht="16.5" customHeight="1" x14ac:dyDescent="0.2">
      <c r="A26" s="193">
        <v>16</v>
      </c>
      <c r="B26" s="184">
        <v>4392</v>
      </c>
      <c r="C26" s="210" t="s">
        <v>2118</v>
      </c>
      <c r="D26" s="204">
        <v>416</v>
      </c>
      <c r="E26" s="189" t="s">
        <v>394</v>
      </c>
      <c r="F26" s="263"/>
      <c r="G26" s="189"/>
      <c r="H26" s="190"/>
      <c r="I26" s="195" t="s">
        <v>396</v>
      </c>
      <c r="J26" s="196" t="s">
        <v>397</v>
      </c>
      <c r="K26" s="197">
        <v>1</v>
      </c>
      <c r="L26" s="194"/>
      <c r="M26" s="190"/>
      <c r="N26" s="211"/>
      <c r="O26" s="213">
        <v>364</v>
      </c>
      <c r="P26" s="205"/>
      <c r="V26" s="184" t="s">
        <v>2313</v>
      </c>
    </row>
    <row r="27" spans="1:22" ht="16.5" customHeight="1" x14ac:dyDescent="0.2">
      <c r="A27" s="71"/>
      <c r="B27" s="71"/>
      <c r="C27" s="72"/>
      <c r="O27" s="128"/>
      <c r="P27" s="75"/>
      <c r="V27" s="71"/>
    </row>
    <row r="28" spans="1:22" ht="16.5" customHeight="1" x14ac:dyDescent="0.2">
      <c r="A28" s="71"/>
      <c r="B28" s="71"/>
      <c r="C28" s="72"/>
      <c r="O28" s="128"/>
      <c r="P28" s="75"/>
      <c r="V28" s="71"/>
    </row>
    <row r="29" spans="1:22" ht="16.5" customHeight="1" x14ac:dyDescent="0.2">
      <c r="A29" s="71"/>
      <c r="B29" s="76" t="s">
        <v>2098</v>
      </c>
      <c r="C29" s="72"/>
      <c r="D29" s="65"/>
      <c r="O29" s="128"/>
      <c r="P29" s="75"/>
      <c r="V29" s="76" t="s">
        <v>2098</v>
      </c>
    </row>
    <row r="30" spans="1:22" ht="16.5" customHeight="1" x14ac:dyDescent="0.2">
      <c r="A30" s="77" t="s">
        <v>386</v>
      </c>
      <c r="B30" s="32"/>
      <c r="C30" s="78" t="s">
        <v>387</v>
      </c>
      <c r="D30" s="34" t="s">
        <v>388</v>
      </c>
      <c r="E30" s="91"/>
      <c r="F30" s="34"/>
      <c r="G30" s="34"/>
      <c r="H30" s="35"/>
      <c r="I30" s="34"/>
      <c r="J30" s="34"/>
      <c r="K30" s="35"/>
      <c r="L30" s="34"/>
      <c r="M30" s="35"/>
      <c r="N30" s="34"/>
      <c r="O30" s="33" t="s">
        <v>389</v>
      </c>
      <c r="P30" s="33" t="s">
        <v>390</v>
      </c>
      <c r="V30" s="32"/>
    </row>
    <row r="31" spans="1:22" ht="16.5" customHeight="1" x14ac:dyDescent="0.2">
      <c r="A31" s="37" t="s">
        <v>391</v>
      </c>
      <c r="B31" s="37" t="s">
        <v>392</v>
      </c>
      <c r="C31" s="79"/>
      <c r="D31" s="40"/>
      <c r="E31" s="93"/>
      <c r="F31" s="40"/>
      <c r="G31" s="40"/>
      <c r="H31" s="41"/>
      <c r="I31" s="40"/>
      <c r="J31" s="40"/>
      <c r="K31" s="41"/>
      <c r="L31" s="40"/>
      <c r="M31" s="41"/>
      <c r="N31" s="40"/>
      <c r="O31" s="43" t="s">
        <v>393</v>
      </c>
      <c r="P31" s="43" t="s">
        <v>394</v>
      </c>
      <c r="V31" s="37" t="s">
        <v>392</v>
      </c>
    </row>
    <row r="32" spans="1:22" ht="16.5" customHeight="1" x14ac:dyDescent="0.2">
      <c r="A32" s="184">
        <v>16</v>
      </c>
      <c r="B32" s="184">
        <v>4393</v>
      </c>
      <c r="C32" s="207" t="s">
        <v>2119</v>
      </c>
      <c r="D32" s="259" t="s">
        <v>1948</v>
      </c>
      <c r="E32" s="260"/>
      <c r="F32" s="185"/>
      <c r="G32" s="186"/>
      <c r="H32" s="187"/>
      <c r="I32" s="188"/>
      <c r="J32" s="189"/>
      <c r="K32" s="190"/>
      <c r="L32" s="208" t="s">
        <v>401</v>
      </c>
      <c r="M32" s="187"/>
      <c r="N32" s="209"/>
      <c r="O32" s="212">
        <v>105</v>
      </c>
      <c r="P32" s="192" t="s">
        <v>395</v>
      </c>
      <c r="V32" s="184" t="s">
        <v>2314</v>
      </c>
    </row>
    <row r="33" spans="1:22" ht="16.5" customHeight="1" x14ac:dyDescent="0.2">
      <c r="A33" s="193">
        <v>16</v>
      </c>
      <c r="B33" s="184">
        <v>4394</v>
      </c>
      <c r="C33" s="210" t="s">
        <v>2120</v>
      </c>
      <c r="D33" s="261"/>
      <c r="E33" s="260"/>
      <c r="F33" s="194"/>
      <c r="G33" s="189"/>
      <c r="H33" s="190"/>
      <c r="I33" s="195" t="s">
        <v>396</v>
      </c>
      <c r="J33" s="196" t="s">
        <v>397</v>
      </c>
      <c r="K33" s="197">
        <v>1</v>
      </c>
      <c r="L33" s="185" t="s">
        <v>397</v>
      </c>
      <c r="M33" s="187">
        <v>0.25</v>
      </c>
      <c r="N33" s="266" t="s">
        <v>400</v>
      </c>
      <c r="O33" s="213">
        <v>105</v>
      </c>
      <c r="P33" s="199"/>
      <c r="V33" s="184" t="s">
        <v>2315</v>
      </c>
    </row>
    <row r="34" spans="1:22" ht="16.5" customHeight="1" x14ac:dyDescent="0.2">
      <c r="A34" s="193">
        <v>16</v>
      </c>
      <c r="B34" s="184">
        <v>4395</v>
      </c>
      <c r="C34" s="210" t="s">
        <v>2121</v>
      </c>
      <c r="D34" s="261"/>
      <c r="E34" s="260"/>
      <c r="F34" s="262" t="s">
        <v>398</v>
      </c>
      <c r="G34" s="200" t="s">
        <v>397</v>
      </c>
      <c r="H34" s="201">
        <v>0.7</v>
      </c>
      <c r="I34" s="195"/>
      <c r="J34" s="196"/>
      <c r="K34" s="197"/>
      <c r="L34" s="185"/>
      <c r="M34" s="187"/>
      <c r="N34" s="267"/>
      <c r="O34" s="213">
        <v>74</v>
      </c>
      <c r="P34" s="199"/>
      <c r="V34" s="184" t="s">
        <v>2316</v>
      </c>
    </row>
    <row r="35" spans="1:22" ht="16.5" customHeight="1" x14ac:dyDescent="0.2">
      <c r="A35" s="193">
        <v>16</v>
      </c>
      <c r="B35" s="184">
        <v>4396</v>
      </c>
      <c r="C35" s="210" t="s">
        <v>2122</v>
      </c>
      <c r="D35" s="203">
        <v>84</v>
      </c>
      <c r="E35" s="186" t="s">
        <v>394</v>
      </c>
      <c r="F35" s="263"/>
      <c r="G35" s="189"/>
      <c r="H35" s="190"/>
      <c r="I35" s="195" t="s">
        <v>396</v>
      </c>
      <c r="J35" s="196" t="s">
        <v>397</v>
      </c>
      <c r="K35" s="197">
        <v>1</v>
      </c>
      <c r="L35" s="185"/>
      <c r="M35" s="187"/>
      <c r="N35" s="209"/>
      <c r="O35" s="213">
        <v>74</v>
      </c>
      <c r="P35" s="199"/>
      <c r="V35" s="184" t="s">
        <v>2317</v>
      </c>
    </row>
    <row r="36" spans="1:22" ht="16.5" customHeight="1" x14ac:dyDescent="0.2">
      <c r="A36" s="193">
        <v>16</v>
      </c>
      <c r="B36" s="184">
        <v>4397</v>
      </c>
      <c r="C36" s="210" t="s">
        <v>2123</v>
      </c>
      <c r="D36" s="264" t="s">
        <v>1949</v>
      </c>
      <c r="E36" s="265"/>
      <c r="F36" s="202"/>
      <c r="G36" s="200"/>
      <c r="H36" s="201"/>
      <c r="I36" s="195"/>
      <c r="J36" s="196"/>
      <c r="K36" s="197"/>
      <c r="L36" s="185"/>
      <c r="M36" s="187"/>
      <c r="N36" s="209"/>
      <c r="O36" s="213">
        <v>209</v>
      </c>
      <c r="P36" s="199"/>
      <c r="V36" s="184" t="s">
        <v>2318</v>
      </c>
    </row>
    <row r="37" spans="1:22" ht="16.5" customHeight="1" x14ac:dyDescent="0.2">
      <c r="A37" s="193">
        <v>16</v>
      </c>
      <c r="B37" s="184">
        <v>4398</v>
      </c>
      <c r="C37" s="210" t="s">
        <v>2124</v>
      </c>
      <c r="D37" s="261"/>
      <c r="E37" s="260"/>
      <c r="F37" s="194"/>
      <c r="G37" s="189"/>
      <c r="H37" s="190"/>
      <c r="I37" s="195" t="s">
        <v>396</v>
      </c>
      <c r="J37" s="196" t="s">
        <v>397</v>
      </c>
      <c r="K37" s="197">
        <v>1</v>
      </c>
      <c r="L37" s="185"/>
      <c r="M37" s="187"/>
      <c r="N37" s="209"/>
      <c r="O37" s="213">
        <v>209</v>
      </c>
      <c r="P37" s="199"/>
      <c r="V37" s="184" t="s">
        <v>2319</v>
      </c>
    </row>
    <row r="38" spans="1:22" ht="16.5" customHeight="1" x14ac:dyDescent="0.2">
      <c r="A38" s="193">
        <v>16</v>
      </c>
      <c r="B38" s="184">
        <v>4399</v>
      </c>
      <c r="C38" s="210" t="s">
        <v>2125</v>
      </c>
      <c r="D38" s="261"/>
      <c r="E38" s="260"/>
      <c r="F38" s="262" t="s">
        <v>398</v>
      </c>
      <c r="G38" s="200" t="s">
        <v>397</v>
      </c>
      <c r="H38" s="201">
        <v>0.7</v>
      </c>
      <c r="I38" s="195"/>
      <c r="J38" s="196"/>
      <c r="K38" s="197"/>
      <c r="L38" s="185"/>
      <c r="M38" s="187"/>
      <c r="N38" s="209"/>
      <c r="O38" s="213">
        <v>146</v>
      </c>
      <c r="P38" s="199"/>
      <c r="V38" s="184" t="s">
        <v>2320</v>
      </c>
    </row>
    <row r="39" spans="1:22" ht="16.5" customHeight="1" x14ac:dyDescent="0.2">
      <c r="A39" s="193">
        <v>16</v>
      </c>
      <c r="B39" s="184">
        <v>4400</v>
      </c>
      <c r="C39" s="210" t="s">
        <v>2126</v>
      </c>
      <c r="D39" s="203">
        <v>167</v>
      </c>
      <c r="E39" s="186" t="s">
        <v>394</v>
      </c>
      <c r="F39" s="263"/>
      <c r="G39" s="189"/>
      <c r="H39" s="190"/>
      <c r="I39" s="195" t="s">
        <v>396</v>
      </c>
      <c r="J39" s="196" t="s">
        <v>397</v>
      </c>
      <c r="K39" s="197">
        <v>1</v>
      </c>
      <c r="L39" s="185"/>
      <c r="M39" s="187"/>
      <c r="N39" s="209"/>
      <c r="O39" s="213">
        <v>146</v>
      </c>
      <c r="P39" s="199"/>
      <c r="V39" s="184" t="s">
        <v>2321</v>
      </c>
    </row>
    <row r="40" spans="1:22" ht="16.5" customHeight="1" x14ac:dyDescent="0.2">
      <c r="A40" s="193">
        <v>16</v>
      </c>
      <c r="B40" s="184">
        <v>4401</v>
      </c>
      <c r="C40" s="210" t="s">
        <v>2127</v>
      </c>
      <c r="D40" s="264" t="s">
        <v>1950</v>
      </c>
      <c r="E40" s="265"/>
      <c r="F40" s="202"/>
      <c r="G40" s="200"/>
      <c r="H40" s="201"/>
      <c r="I40" s="195"/>
      <c r="J40" s="196"/>
      <c r="K40" s="197"/>
      <c r="L40" s="185"/>
      <c r="M40" s="187"/>
      <c r="N40" s="209"/>
      <c r="O40" s="213">
        <v>313</v>
      </c>
      <c r="P40" s="199"/>
      <c r="V40" s="184" t="s">
        <v>2322</v>
      </c>
    </row>
    <row r="41" spans="1:22" ht="16.5" customHeight="1" x14ac:dyDescent="0.2">
      <c r="A41" s="193">
        <v>16</v>
      </c>
      <c r="B41" s="184">
        <v>4402</v>
      </c>
      <c r="C41" s="210" t="s">
        <v>2128</v>
      </c>
      <c r="D41" s="261"/>
      <c r="E41" s="260"/>
      <c r="F41" s="194"/>
      <c r="G41" s="189"/>
      <c r="H41" s="190"/>
      <c r="I41" s="195" t="s">
        <v>396</v>
      </c>
      <c r="J41" s="196" t="s">
        <v>397</v>
      </c>
      <c r="K41" s="197">
        <v>1</v>
      </c>
      <c r="L41" s="185"/>
      <c r="M41" s="187"/>
      <c r="N41" s="209"/>
      <c r="O41" s="213">
        <v>313</v>
      </c>
      <c r="P41" s="199"/>
      <c r="V41" s="184" t="s">
        <v>2323</v>
      </c>
    </row>
    <row r="42" spans="1:22" ht="16.5" customHeight="1" x14ac:dyDescent="0.2">
      <c r="A42" s="193">
        <v>16</v>
      </c>
      <c r="B42" s="184">
        <v>4403</v>
      </c>
      <c r="C42" s="210" t="s">
        <v>2129</v>
      </c>
      <c r="D42" s="261"/>
      <c r="E42" s="260"/>
      <c r="F42" s="262" t="s">
        <v>398</v>
      </c>
      <c r="G42" s="200" t="s">
        <v>397</v>
      </c>
      <c r="H42" s="201">
        <v>0.7</v>
      </c>
      <c r="I42" s="195"/>
      <c r="J42" s="196"/>
      <c r="K42" s="197"/>
      <c r="L42" s="185"/>
      <c r="M42" s="187"/>
      <c r="N42" s="209"/>
      <c r="O42" s="213">
        <v>219</v>
      </c>
      <c r="P42" s="199"/>
      <c r="V42" s="184" t="s">
        <v>2324</v>
      </c>
    </row>
    <row r="43" spans="1:22" ht="16.5" customHeight="1" x14ac:dyDescent="0.2">
      <c r="A43" s="193">
        <v>16</v>
      </c>
      <c r="B43" s="184">
        <v>4404</v>
      </c>
      <c r="C43" s="210" t="s">
        <v>2130</v>
      </c>
      <c r="D43" s="203">
        <v>250</v>
      </c>
      <c r="E43" s="186" t="s">
        <v>394</v>
      </c>
      <c r="F43" s="263"/>
      <c r="G43" s="189"/>
      <c r="H43" s="190"/>
      <c r="I43" s="195" t="s">
        <v>396</v>
      </c>
      <c r="J43" s="196" t="s">
        <v>397</v>
      </c>
      <c r="K43" s="197">
        <v>1</v>
      </c>
      <c r="L43" s="185"/>
      <c r="M43" s="187"/>
      <c r="N43" s="209"/>
      <c r="O43" s="213">
        <v>219</v>
      </c>
      <c r="P43" s="199"/>
      <c r="V43" s="184" t="s">
        <v>2325</v>
      </c>
    </row>
    <row r="44" spans="1:22" ht="16.5" customHeight="1" x14ac:dyDescent="0.2">
      <c r="A44" s="193">
        <v>16</v>
      </c>
      <c r="B44" s="184">
        <v>4405</v>
      </c>
      <c r="C44" s="210" t="s">
        <v>2131</v>
      </c>
      <c r="D44" s="264" t="s">
        <v>1951</v>
      </c>
      <c r="E44" s="265"/>
      <c r="F44" s="202"/>
      <c r="G44" s="200"/>
      <c r="H44" s="201"/>
      <c r="I44" s="195"/>
      <c r="J44" s="196"/>
      <c r="K44" s="197"/>
      <c r="L44" s="185"/>
      <c r="M44" s="187"/>
      <c r="N44" s="209"/>
      <c r="O44" s="213">
        <v>416</v>
      </c>
      <c r="P44" s="199"/>
      <c r="V44" s="184" t="s">
        <v>2326</v>
      </c>
    </row>
    <row r="45" spans="1:22" ht="16.5" customHeight="1" x14ac:dyDescent="0.2">
      <c r="A45" s="193">
        <v>16</v>
      </c>
      <c r="B45" s="184">
        <v>4406</v>
      </c>
      <c r="C45" s="210" t="s">
        <v>2132</v>
      </c>
      <c r="D45" s="261"/>
      <c r="E45" s="260"/>
      <c r="F45" s="194"/>
      <c r="G45" s="189"/>
      <c r="H45" s="190"/>
      <c r="I45" s="195" t="s">
        <v>396</v>
      </c>
      <c r="J45" s="196" t="s">
        <v>397</v>
      </c>
      <c r="K45" s="197">
        <v>1</v>
      </c>
      <c r="L45" s="185"/>
      <c r="M45" s="187"/>
      <c r="N45" s="209"/>
      <c r="O45" s="213">
        <v>416</v>
      </c>
      <c r="P45" s="199"/>
      <c r="V45" s="184" t="s">
        <v>2327</v>
      </c>
    </row>
    <row r="46" spans="1:22" ht="16.5" customHeight="1" x14ac:dyDescent="0.2">
      <c r="A46" s="193">
        <v>16</v>
      </c>
      <c r="B46" s="184">
        <v>4407</v>
      </c>
      <c r="C46" s="210" t="s">
        <v>2133</v>
      </c>
      <c r="D46" s="261"/>
      <c r="E46" s="260"/>
      <c r="F46" s="262" t="s">
        <v>398</v>
      </c>
      <c r="G46" s="200" t="s">
        <v>397</v>
      </c>
      <c r="H46" s="201">
        <v>0.7</v>
      </c>
      <c r="I46" s="195"/>
      <c r="J46" s="196"/>
      <c r="K46" s="197"/>
      <c r="L46" s="185"/>
      <c r="M46" s="187"/>
      <c r="N46" s="209"/>
      <c r="O46" s="213">
        <v>291</v>
      </c>
      <c r="P46" s="199"/>
      <c r="V46" s="184" t="s">
        <v>2328</v>
      </c>
    </row>
    <row r="47" spans="1:22" ht="16.5" customHeight="1" x14ac:dyDescent="0.2">
      <c r="A47" s="193">
        <v>16</v>
      </c>
      <c r="B47" s="184">
        <v>4408</v>
      </c>
      <c r="C47" s="210" t="s">
        <v>2134</v>
      </c>
      <c r="D47" s="204">
        <v>333</v>
      </c>
      <c r="E47" s="211" t="s">
        <v>394</v>
      </c>
      <c r="F47" s="263"/>
      <c r="G47" s="189"/>
      <c r="H47" s="190"/>
      <c r="I47" s="195" t="s">
        <v>396</v>
      </c>
      <c r="J47" s="196" t="s">
        <v>397</v>
      </c>
      <c r="K47" s="197">
        <v>1</v>
      </c>
      <c r="L47" s="185"/>
      <c r="M47" s="187"/>
      <c r="N47" s="209"/>
      <c r="O47" s="213">
        <v>291</v>
      </c>
      <c r="P47" s="199"/>
      <c r="V47" s="184" t="s">
        <v>2329</v>
      </c>
    </row>
    <row r="48" spans="1:22" ht="16.5" customHeight="1" x14ac:dyDescent="0.2">
      <c r="A48" s="184">
        <v>16</v>
      </c>
      <c r="B48" s="184">
        <v>4409</v>
      </c>
      <c r="C48" s="207" t="s">
        <v>2135</v>
      </c>
      <c r="D48" s="259" t="s">
        <v>1952</v>
      </c>
      <c r="E48" s="260"/>
      <c r="F48" s="185"/>
      <c r="G48" s="186"/>
      <c r="H48" s="187"/>
      <c r="I48" s="188"/>
      <c r="J48" s="189"/>
      <c r="K48" s="190"/>
      <c r="L48" s="185"/>
      <c r="M48" s="187"/>
      <c r="N48" s="209"/>
      <c r="O48" s="212">
        <v>520</v>
      </c>
      <c r="P48" s="199"/>
      <c r="V48" s="184" t="s">
        <v>2330</v>
      </c>
    </row>
    <row r="49" spans="1:22" ht="16.5" customHeight="1" x14ac:dyDescent="0.2">
      <c r="A49" s="193">
        <v>16</v>
      </c>
      <c r="B49" s="184">
        <v>4410</v>
      </c>
      <c r="C49" s="210" t="s">
        <v>2136</v>
      </c>
      <c r="D49" s="261"/>
      <c r="E49" s="260"/>
      <c r="F49" s="194"/>
      <c r="G49" s="189"/>
      <c r="H49" s="190"/>
      <c r="I49" s="195" t="s">
        <v>396</v>
      </c>
      <c r="J49" s="196" t="s">
        <v>397</v>
      </c>
      <c r="K49" s="197">
        <v>1</v>
      </c>
      <c r="L49" s="185"/>
      <c r="M49" s="187"/>
      <c r="N49" s="209"/>
      <c r="O49" s="213">
        <v>520</v>
      </c>
      <c r="P49" s="199"/>
      <c r="V49" s="184" t="s">
        <v>2331</v>
      </c>
    </row>
    <row r="50" spans="1:22" ht="16.5" customHeight="1" x14ac:dyDescent="0.2">
      <c r="A50" s="193">
        <v>16</v>
      </c>
      <c r="B50" s="184">
        <v>4411</v>
      </c>
      <c r="C50" s="210" t="s">
        <v>2137</v>
      </c>
      <c r="D50" s="261"/>
      <c r="E50" s="260"/>
      <c r="F50" s="262" t="s">
        <v>398</v>
      </c>
      <c r="G50" s="200" t="s">
        <v>397</v>
      </c>
      <c r="H50" s="201">
        <v>0.7</v>
      </c>
      <c r="I50" s="195"/>
      <c r="J50" s="196"/>
      <c r="K50" s="197"/>
      <c r="L50" s="185"/>
      <c r="M50" s="187"/>
      <c r="N50" s="209"/>
      <c r="O50" s="213">
        <v>364</v>
      </c>
      <c r="P50" s="199"/>
      <c r="V50" s="184" t="s">
        <v>2332</v>
      </c>
    </row>
    <row r="51" spans="1:22" ht="16.5" customHeight="1" x14ac:dyDescent="0.2">
      <c r="A51" s="193">
        <v>16</v>
      </c>
      <c r="B51" s="184">
        <v>4412</v>
      </c>
      <c r="C51" s="210" t="s">
        <v>2138</v>
      </c>
      <c r="D51" s="203">
        <v>416</v>
      </c>
      <c r="E51" s="186" t="s">
        <v>394</v>
      </c>
      <c r="F51" s="263"/>
      <c r="G51" s="189"/>
      <c r="H51" s="190"/>
      <c r="I51" s="195" t="s">
        <v>396</v>
      </c>
      <c r="J51" s="196" t="s">
        <v>397</v>
      </c>
      <c r="K51" s="197">
        <v>1</v>
      </c>
      <c r="L51" s="185"/>
      <c r="M51" s="187"/>
      <c r="N51" s="209"/>
      <c r="O51" s="213">
        <v>364</v>
      </c>
      <c r="P51" s="199"/>
      <c r="V51" s="184" t="s">
        <v>2333</v>
      </c>
    </row>
    <row r="52" spans="1:22" ht="16.5" customHeight="1" x14ac:dyDescent="0.2">
      <c r="A52" s="193">
        <v>16</v>
      </c>
      <c r="B52" s="184">
        <v>4413</v>
      </c>
      <c r="C52" s="210" t="s">
        <v>2139</v>
      </c>
      <c r="D52" s="264" t="s">
        <v>1953</v>
      </c>
      <c r="E52" s="265"/>
      <c r="F52" s="202"/>
      <c r="G52" s="200"/>
      <c r="H52" s="201"/>
      <c r="I52" s="195"/>
      <c r="J52" s="196"/>
      <c r="K52" s="197"/>
      <c r="L52" s="185"/>
      <c r="M52" s="187"/>
      <c r="N52" s="209"/>
      <c r="O52" s="213">
        <v>624</v>
      </c>
      <c r="P52" s="199"/>
      <c r="V52" s="184" t="s">
        <v>2334</v>
      </c>
    </row>
    <row r="53" spans="1:22" ht="16.5" customHeight="1" x14ac:dyDescent="0.2">
      <c r="A53" s="193">
        <v>16</v>
      </c>
      <c r="B53" s="184">
        <v>4414</v>
      </c>
      <c r="C53" s="210" t="s">
        <v>2140</v>
      </c>
      <c r="D53" s="261"/>
      <c r="E53" s="260"/>
      <c r="F53" s="194"/>
      <c r="G53" s="189"/>
      <c r="H53" s="190"/>
      <c r="I53" s="195" t="s">
        <v>396</v>
      </c>
      <c r="J53" s="196" t="s">
        <v>397</v>
      </c>
      <c r="K53" s="197">
        <v>1</v>
      </c>
      <c r="L53" s="185"/>
      <c r="M53" s="187"/>
      <c r="N53" s="209"/>
      <c r="O53" s="213">
        <v>624</v>
      </c>
      <c r="P53" s="199"/>
      <c r="V53" s="184" t="s">
        <v>2335</v>
      </c>
    </row>
    <row r="54" spans="1:22" ht="16.5" customHeight="1" x14ac:dyDescent="0.2">
      <c r="A54" s="193">
        <v>16</v>
      </c>
      <c r="B54" s="184">
        <v>4415</v>
      </c>
      <c r="C54" s="210" t="s">
        <v>2141</v>
      </c>
      <c r="D54" s="261"/>
      <c r="E54" s="260"/>
      <c r="F54" s="262" t="s">
        <v>398</v>
      </c>
      <c r="G54" s="200" t="s">
        <v>397</v>
      </c>
      <c r="H54" s="201">
        <v>0.7</v>
      </c>
      <c r="I54" s="195"/>
      <c r="J54" s="196"/>
      <c r="K54" s="197"/>
      <c r="L54" s="185"/>
      <c r="M54" s="187"/>
      <c r="N54" s="209"/>
      <c r="O54" s="213">
        <v>436</v>
      </c>
      <c r="P54" s="199"/>
      <c r="V54" s="184" t="s">
        <v>2336</v>
      </c>
    </row>
    <row r="55" spans="1:22" ht="16.5" customHeight="1" x14ac:dyDescent="0.2">
      <c r="A55" s="193">
        <v>16</v>
      </c>
      <c r="B55" s="184">
        <v>4416</v>
      </c>
      <c r="C55" s="210" t="s">
        <v>2142</v>
      </c>
      <c r="D55" s="203">
        <v>499</v>
      </c>
      <c r="E55" s="186" t="s">
        <v>394</v>
      </c>
      <c r="F55" s="263"/>
      <c r="G55" s="189"/>
      <c r="H55" s="190"/>
      <c r="I55" s="195" t="s">
        <v>396</v>
      </c>
      <c r="J55" s="196" t="s">
        <v>397</v>
      </c>
      <c r="K55" s="197">
        <v>1</v>
      </c>
      <c r="L55" s="185"/>
      <c r="M55" s="187"/>
      <c r="N55" s="209"/>
      <c r="O55" s="213">
        <v>436</v>
      </c>
      <c r="P55" s="199"/>
      <c r="V55" s="184" t="s">
        <v>2337</v>
      </c>
    </row>
    <row r="56" spans="1:22" ht="16.5" customHeight="1" x14ac:dyDescent="0.2">
      <c r="A56" s="193">
        <v>16</v>
      </c>
      <c r="B56" s="184">
        <v>4417</v>
      </c>
      <c r="C56" s="210" t="s">
        <v>2143</v>
      </c>
      <c r="D56" s="264" t="s">
        <v>1954</v>
      </c>
      <c r="E56" s="265"/>
      <c r="F56" s="202"/>
      <c r="G56" s="200"/>
      <c r="H56" s="201"/>
      <c r="I56" s="195"/>
      <c r="J56" s="196"/>
      <c r="K56" s="197"/>
      <c r="L56" s="185"/>
      <c r="M56" s="187"/>
      <c r="N56" s="209"/>
      <c r="O56" s="213">
        <v>728</v>
      </c>
      <c r="P56" s="199"/>
      <c r="V56" s="184" t="s">
        <v>2338</v>
      </c>
    </row>
    <row r="57" spans="1:22" ht="16.5" customHeight="1" x14ac:dyDescent="0.2">
      <c r="A57" s="193">
        <v>16</v>
      </c>
      <c r="B57" s="184">
        <v>4418</v>
      </c>
      <c r="C57" s="210" t="s">
        <v>2144</v>
      </c>
      <c r="D57" s="261"/>
      <c r="E57" s="260"/>
      <c r="F57" s="194"/>
      <c r="G57" s="189"/>
      <c r="H57" s="190"/>
      <c r="I57" s="195" t="s">
        <v>396</v>
      </c>
      <c r="J57" s="196" t="s">
        <v>397</v>
      </c>
      <c r="K57" s="197">
        <v>1</v>
      </c>
      <c r="L57" s="185"/>
      <c r="M57" s="187"/>
      <c r="N57" s="209"/>
      <c r="O57" s="213">
        <v>728</v>
      </c>
      <c r="P57" s="199"/>
      <c r="V57" s="184" t="s">
        <v>2339</v>
      </c>
    </row>
    <row r="58" spans="1:22" ht="16.5" customHeight="1" x14ac:dyDescent="0.2">
      <c r="A58" s="193">
        <v>16</v>
      </c>
      <c r="B58" s="184">
        <v>4419</v>
      </c>
      <c r="C58" s="210" t="s">
        <v>2145</v>
      </c>
      <c r="D58" s="261"/>
      <c r="E58" s="260"/>
      <c r="F58" s="262" t="s">
        <v>398</v>
      </c>
      <c r="G58" s="200" t="s">
        <v>397</v>
      </c>
      <c r="H58" s="201">
        <v>0.7</v>
      </c>
      <c r="I58" s="195"/>
      <c r="J58" s="196"/>
      <c r="K58" s="197"/>
      <c r="L58" s="185"/>
      <c r="M58" s="187"/>
      <c r="N58" s="209"/>
      <c r="O58" s="213">
        <v>509</v>
      </c>
      <c r="P58" s="199"/>
      <c r="V58" s="184" t="s">
        <v>2340</v>
      </c>
    </row>
    <row r="59" spans="1:22" ht="16.5" customHeight="1" x14ac:dyDescent="0.2">
      <c r="A59" s="193">
        <v>16</v>
      </c>
      <c r="B59" s="184">
        <v>4420</v>
      </c>
      <c r="C59" s="210" t="s">
        <v>2146</v>
      </c>
      <c r="D59" s="203">
        <v>582</v>
      </c>
      <c r="E59" s="186" t="s">
        <v>394</v>
      </c>
      <c r="F59" s="263"/>
      <c r="G59" s="189"/>
      <c r="H59" s="190"/>
      <c r="I59" s="195" t="s">
        <v>396</v>
      </c>
      <c r="J59" s="196" t="s">
        <v>397</v>
      </c>
      <c r="K59" s="197">
        <v>1</v>
      </c>
      <c r="L59" s="185"/>
      <c r="M59" s="187"/>
      <c r="N59" s="209"/>
      <c r="O59" s="213">
        <v>509</v>
      </c>
      <c r="P59" s="199"/>
      <c r="V59" s="184" t="s">
        <v>2341</v>
      </c>
    </row>
    <row r="60" spans="1:22" ht="16.5" customHeight="1" x14ac:dyDescent="0.2">
      <c r="A60" s="193">
        <v>16</v>
      </c>
      <c r="B60" s="184">
        <v>4421</v>
      </c>
      <c r="C60" s="210" t="s">
        <v>2147</v>
      </c>
      <c r="D60" s="264" t="s">
        <v>1955</v>
      </c>
      <c r="E60" s="265"/>
      <c r="F60" s="202"/>
      <c r="G60" s="200"/>
      <c r="H60" s="201"/>
      <c r="I60" s="195"/>
      <c r="J60" s="196"/>
      <c r="K60" s="197"/>
      <c r="L60" s="185"/>
      <c r="M60" s="187"/>
      <c r="N60" s="209"/>
      <c r="O60" s="213">
        <v>831</v>
      </c>
      <c r="P60" s="199"/>
      <c r="V60" s="184" t="s">
        <v>2342</v>
      </c>
    </row>
    <row r="61" spans="1:22" ht="16.5" customHeight="1" x14ac:dyDescent="0.2">
      <c r="A61" s="193">
        <v>16</v>
      </c>
      <c r="B61" s="184">
        <v>4422</v>
      </c>
      <c r="C61" s="210" t="s">
        <v>2148</v>
      </c>
      <c r="D61" s="261"/>
      <c r="E61" s="260"/>
      <c r="F61" s="194"/>
      <c r="G61" s="189"/>
      <c r="H61" s="190"/>
      <c r="I61" s="195" t="s">
        <v>396</v>
      </c>
      <c r="J61" s="196" t="s">
        <v>397</v>
      </c>
      <c r="K61" s="197">
        <v>1</v>
      </c>
      <c r="L61" s="185"/>
      <c r="M61" s="187"/>
      <c r="N61" s="209"/>
      <c r="O61" s="213">
        <v>831</v>
      </c>
      <c r="P61" s="199"/>
      <c r="V61" s="184" t="s">
        <v>2343</v>
      </c>
    </row>
    <row r="62" spans="1:22" ht="16.5" customHeight="1" x14ac:dyDescent="0.2">
      <c r="A62" s="193">
        <v>16</v>
      </c>
      <c r="B62" s="184">
        <v>4423</v>
      </c>
      <c r="C62" s="210" t="s">
        <v>2149</v>
      </c>
      <c r="D62" s="261"/>
      <c r="E62" s="260"/>
      <c r="F62" s="262" t="s">
        <v>398</v>
      </c>
      <c r="G62" s="200" t="s">
        <v>397</v>
      </c>
      <c r="H62" s="201">
        <v>0.7</v>
      </c>
      <c r="I62" s="195"/>
      <c r="J62" s="196"/>
      <c r="K62" s="197"/>
      <c r="L62" s="185"/>
      <c r="M62" s="187"/>
      <c r="N62" s="209"/>
      <c r="O62" s="213">
        <v>583</v>
      </c>
      <c r="P62" s="199"/>
      <c r="V62" s="184" t="s">
        <v>2344</v>
      </c>
    </row>
    <row r="63" spans="1:22" ht="16.5" customHeight="1" x14ac:dyDescent="0.2">
      <c r="A63" s="193">
        <v>16</v>
      </c>
      <c r="B63" s="184">
        <v>4424</v>
      </c>
      <c r="C63" s="210" t="s">
        <v>2150</v>
      </c>
      <c r="D63" s="203">
        <v>665</v>
      </c>
      <c r="E63" s="186" t="s">
        <v>394</v>
      </c>
      <c r="F63" s="263"/>
      <c r="G63" s="189"/>
      <c r="H63" s="190"/>
      <c r="I63" s="195" t="s">
        <v>396</v>
      </c>
      <c r="J63" s="196" t="s">
        <v>397</v>
      </c>
      <c r="K63" s="197">
        <v>1</v>
      </c>
      <c r="L63" s="185"/>
      <c r="M63" s="187"/>
      <c r="N63" s="209"/>
      <c r="O63" s="213">
        <v>583</v>
      </c>
      <c r="P63" s="199"/>
      <c r="V63" s="184" t="s">
        <v>2345</v>
      </c>
    </row>
    <row r="64" spans="1:22" ht="16.5" customHeight="1" x14ac:dyDescent="0.2">
      <c r="A64" s="193">
        <v>16</v>
      </c>
      <c r="B64" s="184">
        <v>4425</v>
      </c>
      <c r="C64" s="210" t="s">
        <v>2151</v>
      </c>
      <c r="D64" s="264" t="s">
        <v>1956</v>
      </c>
      <c r="E64" s="265"/>
      <c r="F64" s="202"/>
      <c r="G64" s="200"/>
      <c r="H64" s="201"/>
      <c r="I64" s="195"/>
      <c r="J64" s="196"/>
      <c r="K64" s="197"/>
      <c r="L64" s="185"/>
      <c r="M64" s="187"/>
      <c r="N64" s="209"/>
      <c r="O64" s="213">
        <v>935</v>
      </c>
      <c r="P64" s="199"/>
      <c r="V64" s="184" t="s">
        <v>2346</v>
      </c>
    </row>
    <row r="65" spans="1:22" ht="16.5" customHeight="1" x14ac:dyDescent="0.2">
      <c r="A65" s="193">
        <v>16</v>
      </c>
      <c r="B65" s="184">
        <v>4426</v>
      </c>
      <c r="C65" s="210" t="s">
        <v>2152</v>
      </c>
      <c r="D65" s="261"/>
      <c r="E65" s="260"/>
      <c r="F65" s="194"/>
      <c r="G65" s="189"/>
      <c r="H65" s="190"/>
      <c r="I65" s="195" t="s">
        <v>396</v>
      </c>
      <c r="J65" s="196" t="s">
        <v>397</v>
      </c>
      <c r="K65" s="197">
        <v>1</v>
      </c>
      <c r="L65" s="185"/>
      <c r="M65" s="187"/>
      <c r="N65" s="209"/>
      <c r="O65" s="213">
        <v>935</v>
      </c>
      <c r="P65" s="199"/>
      <c r="V65" s="184" t="s">
        <v>2347</v>
      </c>
    </row>
    <row r="66" spans="1:22" ht="16.5" customHeight="1" x14ac:dyDescent="0.2">
      <c r="A66" s="193">
        <v>16</v>
      </c>
      <c r="B66" s="184">
        <v>4427</v>
      </c>
      <c r="C66" s="210" t="s">
        <v>2153</v>
      </c>
      <c r="D66" s="261"/>
      <c r="E66" s="260"/>
      <c r="F66" s="262" t="s">
        <v>398</v>
      </c>
      <c r="G66" s="200" t="s">
        <v>397</v>
      </c>
      <c r="H66" s="201">
        <v>0.7</v>
      </c>
      <c r="I66" s="195"/>
      <c r="J66" s="196"/>
      <c r="K66" s="197"/>
      <c r="L66" s="185"/>
      <c r="M66" s="187"/>
      <c r="N66" s="209"/>
      <c r="O66" s="213">
        <v>655</v>
      </c>
      <c r="P66" s="199"/>
      <c r="V66" s="184" t="s">
        <v>2348</v>
      </c>
    </row>
    <row r="67" spans="1:22" ht="16.5" customHeight="1" x14ac:dyDescent="0.2">
      <c r="A67" s="193">
        <v>16</v>
      </c>
      <c r="B67" s="184">
        <v>4428</v>
      </c>
      <c r="C67" s="210" t="s">
        <v>2154</v>
      </c>
      <c r="D67" s="204">
        <v>748</v>
      </c>
      <c r="E67" s="189" t="s">
        <v>394</v>
      </c>
      <c r="F67" s="263"/>
      <c r="G67" s="189"/>
      <c r="H67" s="190"/>
      <c r="I67" s="195" t="s">
        <v>396</v>
      </c>
      <c r="J67" s="196" t="s">
        <v>397</v>
      </c>
      <c r="K67" s="197">
        <v>1</v>
      </c>
      <c r="L67" s="194"/>
      <c r="M67" s="190"/>
      <c r="N67" s="211"/>
      <c r="O67" s="213">
        <v>655</v>
      </c>
      <c r="P67" s="205"/>
      <c r="V67" s="184" t="s">
        <v>2349</v>
      </c>
    </row>
    <row r="68" spans="1:22" ht="16.5" customHeight="1" x14ac:dyDescent="0.2"/>
    <row r="69" spans="1:22" ht="16.5" customHeight="1" x14ac:dyDescent="0.2"/>
  </sheetData>
  <mergeCells count="30">
    <mergeCell ref="D60:E62"/>
    <mergeCell ref="F62:F63"/>
    <mergeCell ref="D64:E66"/>
    <mergeCell ref="F66:F67"/>
    <mergeCell ref="D48:E50"/>
    <mergeCell ref="F50:F51"/>
    <mergeCell ref="D52:E54"/>
    <mergeCell ref="F54:F55"/>
    <mergeCell ref="D56:E58"/>
    <mergeCell ref="F58:F59"/>
    <mergeCell ref="D36:E38"/>
    <mergeCell ref="F38:F39"/>
    <mergeCell ref="D40:E42"/>
    <mergeCell ref="F42:F43"/>
    <mergeCell ref="D44:E46"/>
    <mergeCell ref="F46:F47"/>
    <mergeCell ref="N33:N34"/>
    <mergeCell ref="F34:F35"/>
    <mergeCell ref="D7:E9"/>
    <mergeCell ref="N8:N9"/>
    <mergeCell ref="F9:F10"/>
    <mergeCell ref="D11:E13"/>
    <mergeCell ref="F13:F14"/>
    <mergeCell ref="D15:E17"/>
    <mergeCell ref="F17:F18"/>
    <mergeCell ref="D19:E21"/>
    <mergeCell ref="F21:F22"/>
    <mergeCell ref="D23:E25"/>
    <mergeCell ref="F25:F26"/>
    <mergeCell ref="D32:E3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60"/>
  <sheetViews>
    <sheetView topLeftCell="A13" workbookViewId="0"/>
  </sheetViews>
  <sheetFormatPr defaultColWidth="8.90625" defaultRowHeight="14" x14ac:dyDescent="0.2"/>
  <cols>
    <col min="1" max="1" width="4.6328125" style="22" customWidth="1"/>
    <col min="2" max="2" width="7.6328125" style="22" customWidth="1"/>
    <col min="3" max="3" width="33.6328125" style="23" bestFit="1" customWidth="1"/>
    <col min="4" max="4" width="6" style="23" bestFit="1" customWidth="1"/>
    <col min="5" max="5" width="5.36328125" style="90" bestFit="1" customWidth="1"/>
    <col min="6" max="6" width="11.90625" style="25" customWidth="1"/>
    <col min="7" max="7" width="3.453125" style="25" bestFit="1" customWidth="1"/>
    <col min="8" max="8" width="4.453125" style="26" bestFit="1" customWidth="1"/>
    <col min="9" max="9" width="25.36328125" style="27" bestFit="1" customWidth="1"/>
    <col min="10" max="10" width="3.453125" style="25" bestFit="1" customWidth="1"/>
    <col min="11" max="11" width="5.453125" style="26" bestFit="1" customWidth="1"/>
    <col min="12" max="12" width="3.453125" style="25" bestFit="1" customWidth="1"/>
    <col min="13" max="13" width="4.453125" style="26" bestFit="1" customWidth="1"/>
    <col min="14" max="14" width="5.36328125" style="25" bestFit="1" customWidth="1"/>
    <col min="15" max="15" width="7.08984375" style="28" customWidth="1"/>
    <col min="16" max="16" width="8.6328125" style="29" customWidth="1"/>
    <col min="17" max="16384" width="8.90625" style="25"/>
  </cols>
  <sheetData>
    <row r="1" spans="1:16" ht="17.149999999999999" customHeight="1" x14ac:dyDescent="0.2"/>
    <row r="2" spans="1:16" ht="17.149999999999999" customHeight="1" x14ac:dyDescent="0.2"/>
    <row r="3" spans="1:16" ht="17.149999999999999" customHeight="1" x14ac:dyDescent="0.2"/>
    <row r="4" spans="1:16" ht="17.149999999999999" customHeight="1" x14ac:dyDescent="0.2">
      <c r="B4" s="30" t="s">
        <v>1387</v>
      </c>
      <c r="D4" s="65"/>
    </row>
    <row r="5" spans="1:16" ht="16.5" customHeight="1" x14ac:dyDescent="0.2">
      <c r="A5" s="31" t="s">
        <v>386</v>
      </c>
      <c r="B5" s="32"/>
      <c r="C5" s="33" t="s">
        <v>387</v>
      </c>
      <c r="D5" s="34" t="s">
        <v>388</v>
      </c>
      <c r="E5" s="91"/>
      <c r="F5" s="34"/>
      <c r="G5" s="34"/>
      <c r="H5" s="35"/>
      <c r="I5" s="34"/>
      <c r="J5" s="34"/>
      <c r="K5" s="35"/>
      <c r="L5" s="34"/>
      <c r="M5" s="35"/>
      <c r="N5" s="34"/>
      <c r="O5" s="36" t="s">
        <v>389</v>
      </c>
      <c r="P5" s="33" t="s">
        <v>390</v>
      </c>
    </row>
    <row r="6" spans="1:16" ht="16.5" customHeight="1" x14ac:dyDescent="0.2">
      <c r="A6" s="37" t="s">
        <v>391</v>
      </c>
      <c r="B6" s="37" t="s">
        <v>392</v>
      </c>
      <c r="C6" s="38"/>
      <c r="D6" s="40"/>
      <c r="E6" s="93"/>
      <c r="F6" s="40"/>
      <c r="G6" s="40"/>
      <c r="H6" s="41"/>
      <c r="I6" s="40"/>
      <c r="J6" s="40"/>
      <c r="K6" s="41"/>
      <c r="L6" s="40"/>
      <c r="M6" s="41"/>
      <c r="N6" s="40"/>
      <c r="O6" s="42" t="s">
        <v>393</v>
      </c>
      <c r="P6" s="43" t="s">
        <v>394</v>
      </c>
    </row>
    <row r="7" spans="1:16" ht="16.5" customHeight="1" x14ac:dyDescent="0.2">
      <c r="A7" s="44">
        <v>16</v>
      </c>
      <c r="B7" s="44">
        <v>3967</v>
      </c>
      <c r="C7" s="45" t="s">
        <v>1388</v>
      </c>
      <c r="D7" s="245" t="s">
        <v>2209</v>
      </c>
      <c r="E7" s="246"/>
      <c r="F7" s="47"/>
      <c r="I7" s="48"/>
      <c r="J7" s="49"/>
      <c r="K7" s="50"/>
      <c r="L7" s="67" t="s">
        <v>402</v>
      </c>
      <c r="N7" s="63"/>
      <c r="O7" s="51">
        <f>ROUND((_11_A通院１増０．５*(1+_11・A深夜)),0)</f>
        <v>125</v>
      </c>
      <c r="P7" s="52" t="s">
        <v>395</v>
      </c>
    </row>
    <row r="8" spans="1:16" ht="16.5" customHeight="1" x14ac:dyDescent="0.2">
      <c r="A8" s="44">
        <v>16</v>
      </c>
      <c r="B8" s="53">
        <v>3968</v>
      </c>
      <c r="C8" s="69" t="s">
        <v>1389</v>
      </c>
      <c r="D8" s="245"/>
      <c r="E8" s="246"/>
      <c r="F8" s="54"/>
      <c r="G8" s="49"/>
      <c r="H8" s="50"/>
      <c r="I8" s="55" t="s">
        <v>396</v>
      </c>
      <c r="J8" s="56" t="s">
        <v>397</v>
      </c>
      <c r="K8" s="57">
        <v>1</v>
      </c>
      <c r="L8" s="47" t="s">
        <v>397</v>
      </c>
      <c r="M8" s="26">
        <v>0.5</v>
      </c>
      <c r="N8" s="248" t="s">
        <v>400</v>
      </c>
      <c r="O8" s="58">
        <f>ROUND((ROUND((_11_A通院１増０．５*_11・２人),0)*(1+_11・A深夜)),0)</f>
        <v>125</v>
      </c>
      <c r="P8" s="59"/>
    </row>
    <row r="9" spans="1:16" ht="16.5" customHeight="1" x14ac:dyDescent="0.2">
      <c r="A9" s="44">
        <v>16</v>
      </c>
      <c r="B9" s="53">
        <v>3969</v>
      </c>
      <c r="C9" s="69" t="s">
        <v>1390</v>
      </c>
      <c r="D9" s="245"/>
      <c r="E9" s="246"/>
      <c r="F9" s="241" t="s">
        <v>398</v>
      </c>
      <c r="G9" s="60" t="s">
        <v>397</v>
      </c>
      <c r="H9" s="61">
        <v>0.7</v>
      </c>
      <c r="I9" s="55"/>
      <c r="J9" s="56"/>
      <c r="K9" s="57"/>
      <c r="L9" s="47"/>
      <c r="N9" s="248"/>
      <c r="O9" s="58">
        <f>ROUND((ROUND((_11_A通院１増０．５*_11・基礎１),0)*(1+_11・A深夜)),0)</f>
        <v>87</v>
      </c>
      <c r="P9" s="59"/>
    </row>
    <row r="10" spans="1:16" ht="16.5" customHeight="1" x14ac:dyDescent="0.2">
      <c r="A10" s="44">
        <v>16</v>
      </c>
      <c r="B10" s="53">
        <v>3970</v>
      </c>
      <c r="C10" s="69" t="s">
        <v>1391</v>
      </c>
      <c r="D10" s="84">
        <f>_11_A通院１増０．５</f>
        <v>83</v>
      </c>
      <c r="E10" s="25" t="s">
        <v>394</v>
      </c>
      <c r="F10" s="257"/>
      <c r="G10" s="49"/>
      <c r="H10" s="50"/>
      <c r="I10" s="55" t="s">
        <v>396</v>
      </c>
      <c r="J10" s="56" t="s">
        <v>397</v>
      </c>
      <c r="K10" s="57">
        <v>1</v>
      </c>
      <c r="L10" s="47"/>
      <c r="N10" s="63"/>
      <c r="O10" s="58">
        <f>ROUND((ROUND((ROUND((_11_A通院１増０．５*_11・基礎１),0)*_11・２人),0)*(1+_11・A深夜)),0)</f>
        <v>87</v>
      </c>
      <c r="P10" s="59"/>
    </row>
    <row r="11" spans="1:16" ht="16.5" customHeight="1" x14ac:dyDescent="0.2">
      <c r="A11" s="44">
        <v>16</v>
      </c>
      <c r="B11" s="53">
        <v>3971</v>
      </c>
      <c r="C11" s="69" t="s">
        <v>1392</v>
      </c>
      <c r="D11" s="243" t="s">
        <v>1958</v>
      </c>
      <c r="E11" s="244"/>
      <c r="F11" s="62"/>
      <c r="G11" s="60"/>
      <c r="H11" s="61"/>
      <c r="I11" s="55"/>
      <c r="J11" s="56"/>
      <c r="K11" s="57"/>
      <c r="L11" s="47"/>
      <c r="N11" s="63"/>
      <c r="O11" s="58">
        <f>ROUND((_11_A通院１増１．０*(1+_11・A深夜)),0)</f>
        <v>249</v>
      </c>
      <c r="P11" s="59"/>
    </row>
    <row r="12" spans="1:16" ht="16.5" customHeight="1" x14ac:dyDescent="0.2">
      <c r="A12" s="44">
        <v>16</v>
      </c>
      <c r="B12" s="53">
        <v>3972</v>
      </c>
      <c r="C12" s="69" t="s">
        <v>1393</v>
      </c>
      <c r="D12" s="245"/>
      <c r="E12" s="246"/>
      <c r="F12" s="54"/>
      <c r="G12" s="49"/>
      <c r="H12" s="50"/>
      <c r="I12" s="55" t="s">
        <v>396</v>
      </c>
      <c r="J12" s="56" t="s">
        <v>397</v>
      </c>
      <c r="K12" s="57">
        <v>1</v>
      </c>
      <c r="L12" s="47"/>
      <c r="N12" s="63"/>
      <c r="O12" s="58">
        <f>ROUND((ROUND((_11_A通院１増１．０*_11・２人),0)*(1+_11・A深夜)),0)</f>
        <v>249</v>
      </c>
      <c r="P12" s="59"/>
    </row>
    <row r="13" spans="1:16" ht="16.5" customHeight="1" x14ac:dyDescent="0.2">
      <c r="A13" s="44">
        <v>16</v>
      </c>
      <c r="B13" s="53">
        <v>3973</v>
      </c>
      <c r="C13" s="69" t="s">
        <v>1394</v>
      </c>
      <c r="D13" s="245"/>
      <c r="E13" s="246"/>
      <c r="F13" s="241" t="s">
        <v>398</v>
      </c>
      <c r="G13" s="60" t="s">
        <v>397</v>
      </c>
      <c r="H13" s="61">
        <v>0.7</v>
      </c>
      <c r="I13" s="55"/>
      <c r="J13" s="56"/>
      <c r="K13" s="57"/>
      <c r="L13" s="47"/>
      <c r="N13" s="63"/>
      <c r="O13" s="58">
        <f>ROUND((ROUND((_11_A通院１増１．０*_11・基礎１),0)*(1+_11・A深夜)),0)</f>
        <v>174</v>
      </c>
      <c r="P13" s="59"/>
    </row>
    <row r="14" spans="1:16" ht="16.5" customHeight="1" x14ac:dyDescent="0.2">
      <c r="A14" s="44">
        <v>16</v>
      </c>
      <c r="B14" s="53">
        <v>3974</v>
      </c>
      <c r="C14" s="69" t="s">
        <v>1395</v>
      </c>
      <c r="D14" s="84">
        <f>_11_A通院１増１．０</f>
        <v>166</v>
      </c>
      <c r="E14" s="25" t="s">
        <v>394</v>
      </c>
      <c r="F14" s="245"/>
      <c r="G14" s="49"/>
      <c r="H14" s="50"/>
      <c r="I14" s="55" t="s">
        <v>396</v>
      </c>
      <c r="J14" s="56" t="s">
        <v>397</v>
      </c>
      <c r="K14" s="57">
        <v>1</v>
      </c>
      <c r="L14" s="47"/>
      <c r="N14" s="63"/>
      <c r="O14" s="58">
        <f>ROUND((ROUND((ROUND((_11_A通院１増１．０*_11・基礎１),0)*_11・２人),0)*(1+_11・A深夜)),0)</f>
        <v>174</v>
      </c>
      <c r="P14" s="59"/>
    </row>
    <row r="15" spans="1:16" ht="16.5" customHeight="1" x14ac:dyDescent="0.2">
      <c r="A15" s="44">
        <v>16</v>
      </c>
      <c r="B15" s="53">
        <v>3975</v>
      </c>
      <c r="C15" s="69" t="s">
        <v>1396</v>
      </c>
      <c r="D15" s="243" t="s">
        <v>1959</v>
      </c>
      <c r="E15" s="244"/>
      <c r="F15" s="62"/>
      <c r="G15" s="60"/>
      <c r="H15" s="61"/>
      <c r="I15" s="55"/>
      <c r="J15" s="56"/>
      <c r="K15" s="57"/>
      <c r="L15" s="47"/>
      <c r="N15" s="63"/>
      <c r="O15" s="58">
        <f>ROUND((_11_A通院１増１．５*(1+_11・A深夜)),0)</f>
        <v>374</v>
      </c>
      <c r="P15" s="59"/>
    </row>
    <row r="16" spans="1:16" ht="16.5" customHeight="1" x14ac:dyDescent="0.2">
      <c r="A16" s="44">
        <v>16</v>
      </c>
      <c r="B16" s="53">
        <v>3976</v>
      </c>
      <c r="C16" s="69" t="s">
        <v>1397</v>
      </c>
      <c r="D16" s="245"/>
      <c r="E16" s="246"/>
      <c r="F16" s="54"/>
      <c r="G16" s="49"/>
      <c r="H16" s="50"/>
      <c r="I16" s="55" t="s">
        <v>396</v>
      </c>
      <c r="J16" s="56" t="s">
        <v>397</v>
      </c>
      <c r="K16" s="57">
        <v>1</v>
      </c>
      <c r="L16" s="47"/>
      <c r="N16" s="63"/>
      <c r="O16" s="58">
        <f>ROUND((ROUND((_11_A通院１増１．５*_11・２人),0)*(1+_11・A深夜)),0)</f>
        <v>374</v>
      </c>
      <c r="P16" s="59"/>
    </row>
    <row r="17" spans="1:16" ht="16.5" customHeight="1" x14ac:dyDescent="0.2">
      <c r="A17" s="44">
        <v>16</v>
      </c>
      <c r="B17" s="53">
        <v>3977</v>
      </c>
      <c r="C17" s="69" t="s">
        <v>1398</v>
      </c>
      <c r="D17" s="245"/>
      <c r="E17" s="246"/>
      <c r="F17" s="241" t="s">
        <v>398</v>
      </c>
      <c r="G17" s="60" t="s">
        <v>397</v>
      </c>
      <c r="H17" s="61">
        <v>0.7</v>
      </c>
      <c r="I17" s="55"/>
      <c r="J17" s="56"/>
      <c r="K17" s="57"/>
      <c r="L17" s="47"/>
      <c r="N17" s="63"/>
      <c r="O17" s="58">
        <f>ROUND((ROUND((_11_A通院１増１．５*_11・基礎１),0)*(1+_11・A深夜)),0)</f>
        <v>261</v>
      </c>
      <c r="P17" s="59"/>
    </row>
    <row r="18" spans="1:16" ht="16.5" customHeight="1" x14ac:dyDescent="0.2">
      <c r="A18" s="44">
        <v>16</v>
      </c>
      <c r="B18" s="53">
        <v>3978</v>
      </c>
      <c r="C18" s="69" t="s">
        <v>1399</v>
      </c>
      <c r="D18" s="84">
        <f>_11_A通院１増１．５</f>
        <v>249</v>
      </c>
      <c r="E18" s="25" t="s">
        <v>394</v>
      </c>
      <c r="F18" s="257"/>
      <c r="G18" s="49"/>
      <c r="H18" s="50"/>
      <c r="I18" s="55" t="s">
        <v>396</v>
      </c>
      <c r="J18" s="56" t="s">
        <v>397</v>
      </c>
      <c r="K18" s="57">
        <v>1</v>
      </c>
      <c r="L18" s="47"/>
      <c r="N18" s="63"/>
      <c r="O18" s="58">
        <f>ROUND((ROUND((ROUND((_11_A通院１増１．５*_11・基礎１),0)*_11・２人),0)*(1+_11・A深夜)),0)</f>
        <v>261</v>
      </c>
      <c r="P18" s="59"/>
    </row>
    <row r="19" spans="1:16" ht="16.5" customHeight="1" x14ac:dyDescent="0.2">
      <c r="A19" s="44">
        <v>16</v>
      </c>
      <c r="B19" s="53">
        <v>3979</v>
      </c>
      <c r="C19" s="69" t="s">
        <v>1400</v>
      </c>
      <c r="D19" s="243" t="s">
        <v>1960</v>
      </c>
      <c r="E19" s="244"/>
      <c r="F19" s="62"/>
      <c r="G19" s="60"/>
      <c r="H19" s="61"/>
      <c r="I19" s="55"/>
      <c r="J19" s="56"/>
      <c r="K19" s="57"/>
      <c r="L19" s="47"/>
      <c r="N19" s="63"/>
      <c r="O19" s="58">
        <f>ROUND((_11_A通院１増２．０*(1+_11・A深夜)),0)</f>
        <v>498</v>
      </c>
      <c r="P19" s="59"/>
    </row>
    <row r="20" spans="1:16" ht="16.5" customHeight="1" x14ac:dyDescent="0.2">
      <c r="A20" s="44">
        <v>16</v>
      </c>
      <c r="B20" s="53">
        <v>3980</v>
      </c>
      <c r="C20" s="69" t="s">
        <v>1401</v>
      </c>
      <c r="D20" s="245"/>
      <c r="E20" s="246"/>
      <c r="F20" s="54"/>
      <c r="G20" s="49"/>
      <c r="H20" s="50"/>
      <c r="I20" s="55" t="s">
        <v>396</v>
      </c>
      <c r="J20" s="56" t="s">
        <v>397</v>
      </c>
      <c r="K20" s="57">
        <v>1</v>
      </c>
      <c r="L20" s="47"/>
      <c r="N20" s="63"/>
      <c r="O20" s="58">
        <f>ROUND((ROUND((_11_A通院１増２．０*_11・２人),0)*(1+_11・A深夜)),0)</f>
        <v>498</v>
      </c>
      <c r="P20" s="59"/>
    </row>
    <row r="21" spans="1:16" ht="16.5" customHeight="1" x14ac:dyDescent="0.2">
      <c r="A21" s="44">
        <v>16</v>
      </c>
      <c r="B21" s="53">
        <v>3981</v>
      </c>
      <c r="C21" s="69" t="s">
        <v>1402</v>
      </c>
      <c r="D21" s="245"/>
      <c r="E21" s="246"/>
      <c r="F21" s="241" t="s">
        <v>398</v>
      </c>
      <c r="G21" s="60" t="s">
        <v>397</v>
      </c>
      <c r="H21" s="61">
        <v>0.7</v>
      </c>
      <c r="I21" s="55"/>
      <c r="J21" s="56"/>
      <c r="K21" s="57"/>
      <c r="L21" s="47"/>
      <c r="N21" s="63"/>
      <c r="O21" s="58">
        <f>ROUND((ROUND((_11_A通院１増２．０*_11・基礎１),0)*(1+_11・A深夜)),0)</f>
        <v>348</v>
      </c>
      <c r="P21" s="59"/>
    </row>
    <row r="22" spans="1:16" ht="16.5" customHeight="1" x14ac:dyDescent="0.2">
      <c r="A22" s="44">
        <v>16</v>
      </c>
      <c r="B22" s="53">
        <v>3982</v>
      </c>
      <c r="C22" s="69" t="s">
        <v>1403</v>
      </c>
      <c r="D22" s="84">
        <f>_11_A通院１増２．０</f>
        <v>332</v>
      </c>
      <c r="E22" s="25" t="s">
        <v>394</v>
      </c>
      <c r="F22" s="257"/>
      <c r="G22" s="49"/>
      <c r="H22" s="50"/>
      <c r="I22" s="55" t="s">
        <v>396</v>
      </c>
      <c r="J22" s="56" t="s">
        <v>397</v>
      </c>
      <c r="K22" s="57">
        <v>1</v>
      </c>
      <c r="L22" s="47"/>
      <c r="N22" s="63"/>
      <c r="O22" s="58">
        <f>ROUND((ROUND((ROUND((_11_A通院１増２．０*_11・基礎１),0)*_11・２人),0)*(1+_11・A深夜)),0)</f>
        <v>348</v>
      </c>
      <c r="P22" s="59"/>
    </row>
    <row r="23" spans="1:16" ht="16.5" customHeight="1" x14ac:dyDescent="0.2">
      <c r="A23" s="44">
        <v>16</v>
      </c>
      <c r="B23" s="53">
        <v>3983</v>
      </c>
      <c r="C23" s="69" t="s">
        <v>1404</v>
      </c>
      <c r="D23" s="243" t="s">
        <v>1961</v>
      </c>
      <c r="E23" s="244"/>
      <c r="F23" s="62"/>
      <c r="G23" s="60"/>
      <c r="H23" s="61"/>
      <c r="I23" s="55"/>
      <c r="J23" s="56"/>
      <c r="K23" s="57"/>
      <c r="L23" s="47"/>
      <c r="N23" s="63"/>
      <c r="O23" s="58">
        <f>ROUND((_11_A通院１増２．５*(1+_11・A深夜)),0)</f>
        <v>623</v>
      </c>
      <c r="P23" s="59"/>
    </row>
    <row r="24" spans="1:16" ht="16.5" customHeight="1" x14ac:dyDescent="0.2">
      <c r="A24" s="44">
        <v>16</v>
      </c>
      <c r="B24" s="53">
        <v>3984</v>
      </c>
      <c r="C24" s="69" t="s">
        <v>1405</v>
      </c>
      <c r="D24" s="245"/>
      <c r="E24" s="246"/>
      <c r="F24" s="54"/>
      <c r="G24" s="49"/>
      <c r="H24" s="50"/>
      <c r="I24" s="55" t="s">
        <v>396</v>
      </c>
      <c r="J24" s="56" t="s">
        <v>397</v>
      </c>
      <c r="K24" s="57">
        <v>1</v>
      </c>
      <c r="L24" s="47"/>
      <c r="N24" s="63"/>
      <c r="O24" s="58">
        <f>ROUND((ROUND((_11_A通院１増２．５*_11・２人),0)*(1+_11・A深夜)),0)</f>
        <v>623</v>
      </c>
      <c r="P24" s="59"/>
    </row>
    <row r="25" spans="1:16" ht="16.5" customHeight="1" x14ac:dyDescent="0.2">
      <c r="A25" s="44">
        <v>16</v>
      </c>
      <c r="B25" s="53">
        <v>3985</v>
      </c>
      <c r="C25" s="69" t="s">
        <v>1406</v>
      </c>
      <c r="D25" s="245"/>
      <c r="E25" s="246"/>
      <c r="F25" s="241" t="s">
        <v>398</v>
      </c>
      <c r="G25" s="60" t="s">
        <v>397</v>
      </c>
      <c r="H25" s="61">
        <v>0.7</v>
      </c>
      <c r="I25" s="55"/>
      <c r="J25" s="56"/>
      <c r="K25" s="57"/>
      <c r="L25" s="47"/>
      <c r="N25" s="63"/>
      <c r="O25" s="58">
        <f>ROUND((ROUND((_11_A通院１増２．５*_11・基礎１),0)*(1+_11・A深夜)),0)</f>
        <v>437</v>
      </c>
      <c r="P25" s="59"/>
    </row>
    <row r="26" spans="1:16" ht="16.5" customHeight="1" x14ac:dyDescent="0.2">
      <c r="A26" s="44">
        <v>16</v>
      </c>
      <c r="B26" s="53">
        <v>3986</v>
      </c>
      <c r="C26" s="69" t="s">
        <v>1407</v>
      </c>
      <c r="D26" s="84">
        <f>_11_A通院１増２．５</f>
        <v>415</v>
      </c>
      <c r="E26" s="25" t="s">
        <v>394</v>
      </c>
      <c r="F26" s="257"/>
      <c r="G26" s="49"/>
      <c r="H26" s="50"/>
      <c r="I26" s="55" t="s">
        <v>396</v>
      </c>
      <c r="J26" s="56" t="s">
        <v>397</v>
      </c>
      <c r="K26" s="57">
        <v>1</v>
      </c>
      <c r="L26" s="47"/>
      <c r="N26" s="63"/>
      <c r="O26" s="58">
        <f>ROUND((ROUND((ROUND((_11_A通院１増２．５*_11・基礎１),0)*_11・２人),0)*(1+_11・A深夜)),0)</f>
        <v>437</v>
      </c>
      <c r="P26" s="59"/>
    </row>
    <row r="27" spans="1:16" ht="16.5" customHeight="1" x14ac:dyDescent="0.2">
      <c r="A27" s="44">
        <v>16</v>
      </c>
      <c r="B27" s="53">
        <v>3987</v>
      </c>
      <c r="C27" s="69" t="s">
        <v>1408</v>
      </c>
      <c r="D27" s="243" t="s">
        <v>1962</v>
      </c>
      <c r="E27" s="244"/>
      <c r="F27" s="62"/>
      <c r="G27" s="60"/>
      <c r="H27" s="61"/>
      <c r="I27" s="55"/>
      <c r="J27" s="56"/>
      <c r="K27" s="57"/>
      <c r="L27" s="47"/>
      <c r="N27" s="63"/>
      <c r="O27" s="58">
        <f>ROUND((_11_A通院１増３．０*(1+_11・A深夜)),0)</f>
        <v>747</v>
      </c>
      <c r="P27" s="59"/>
    </row>
    <row r="28" spans="1:16" ht="16.5" customHeight="1" x14ac:dyDescent="0.2">
      <c r="A28" s="44">
        <v>16</v>
      </c>
      <c r="B28" s="53">
        <v>3988</v>
      </c>
      <c r="C28" s="69" t="s">
        <v>1409</v>
      </c>
      <c r="D28" s="245"/>
      <c r="E28" s="246"/>
      <c r="F28" s="54"/>
      <c r="G28" s="49"/>
      <c r="H28" s="50"/>
      <c r="I28" s="55" t="s">
        <v>396</v>
      </c>
      <c r="J28" s="56" t="s">
        <v>397</v>
      </c>
      <c r="K28" s="57">
        <v>1</v>
      </c>
      <c r="L28" s="47"/>
      <c r="N28" s="63"/>
      <c r="O28" s="58">
        <f>ROUND((ROUND((_11_A通院１増３．０*_11・２人),0)*(1+_11・A深夜)),0)</f>
        <v>747</v>
      </c>
      <c r="P28" s="59"/>
    </row>
    <row r="29" spans="1:16" ht="16.5" customHeight="1" x14ac:dyDescent="0.2">
      <c r="A29" s="44">
        <v>16</v>
      </c>
      <c r="B29" s="53">
        <v>3989</v>
      </c>
      <c r="C29" s="69" t="s">
        <v>1410</v>
      </c>
      <c r="D29" s="245"/>
      <c r="E29" s="246"/>
      <c r="F29" s="241" t="s">
        <v>398</v>
      </c>
      <c r="G29" s="60" t="s">
        <v>397</v>
      </c>
      <c r="H29" s="61">
        <v>0.7</v>
      </c>
      <c r="I29" s="55"/>
      <c r="J29" s="56"/>
      <c r="K29" s="57"/>
      <c r="L29" s="47"/>
      <c r="N29" s="63"/>
      <c r="O29" s="58">
        <f>ROUND((ROUND((_11_A通院１増３．０*_11・基礎１),0)*(1+_11・A深夜)),0)</f>
        <v>524</v>
      </c>
      <c r="P29" s="59"/>
    </row>
    <row r="30" spans="1:16" ht="16.5" customHeight="1" x14ac:dyDescent="0.2">
      <c r="A30" s="44">
        <v>16</v>
      </c>
      <c r="B30" s="53">
        <v>3990</v>
      </c>
      <c r="C30" s="69" t="s">
        <v>1411</v>
      </c>
      <c r="D30" s="84">
        <f>_11_A通院１増３．０</f>
        <v>498</v>
      </c>
      <c r="E30" s="25" t="s">
        <v>394</v>
      </c>
      <c r="F30" s="257"/>
      <c r="G30" s="49"/>
      <c r="H30" s="50"/>
      <c r="I30" s="55" t="s">
        <v>396</v>
      </c>
      <c r="J30" s="56" t="s">
        <v>397</v>
      </c>
      <c r="K30" s="57">
        <v>1</v>
      </c>
      <c r="L30" s="47"/>
      <c r="N30" s="63"/>
      <c r="O30" s="58">
        <f>ROUND((ROUND((ROUND((_11_A通院１増３．０*_11・基礎１),0)*_11・２人),0)*(1+_11・A深夜)),0)</f>
        <v>524</v>
      </c>
      <c r="P30" s="59"/>
    </row>
    <row r="31" spans="1:16" ht="16.5" customHeight="1" x14ac:dyDescent="0.2">
      <c r="A31" s="44">
        <v>16</v>
      </c>
      <c r="B31" s="53">
        <v>3991</v>
      </c>
      <c r="C31" s="69" t="s">
        <v>1412</v>
      </c>
      <c r="D31" s="243" t="s">
        <v>1963</v>
      </c>
      <c r="E31" s="244"/>
      <c r="F31" s="62"/>
      <c r="G31" s="60"/>
      <c r="H31" s="61"/>
      <c r="I31" s="55"/>
      <c r="J31" s="56"/>
      <c r="K31" s="57"/>
      <c r="L31" s="47"/>
      <c r="N31" s="63"/>
      <c r="O31" s="58">
        <f>ROUND((_11_A通院１増３．５*(1+_11・A深夜)),0)</f>
        <v>872</v>
      </c>
      <c r="P31" s="59"/>
    </row>
    <row r="32" spans="1:16" ht="16.5" customHeight="1" x14ac:dyDescent="0.2">
      <c r="A32" s="44">
        <v>16</v>
      </c>
      <c r="B32" s="53">
        <v>3992</v>
      </c>
      <c r="C32" s="69" t="s">
        <v>1413</v>
      </c>
      <c r="D32" s="245"/>
      <c r="E32" s="246"/>
      <c r="F32" s="54"/>
      <c r="G32" s="49"/>
      <c r="H32" s="50"/>
      <c r="I32" s="55" t="s">
        <v>396</v>
      </c>
      <c r="J32" s="56" t="s">
        <v>397</v>
      </c>
      <c r="K32" s="57">
        <v>1</v>
      </c>
      <c r="L32" s="47"/>
      <c r="N32" s="63"/>
      <c r="O32" s="58">
        <f>ROUND((ROUND((_11_A通院１増３．５*_11・２人),0)*(1+_11・A深夜)),0)</f>
        <v>872</v>
      </c>
      <c r="P32" s="59"/>
    </row>
    <row r="33" spans="1:16" ht="16.5" customHeight="1" x14ac:dyDescent="0.2">
      <c r="A33" s="44">
        <v>16</v>
      </c>
      <c r="B33" s="53">
        <v>3993</v>
      </c>
      <c r="C33" s="69" t="s">
        <v>1414</v>
      </c>
      <c r="D33" s="245"/>
      <c r="E33" s="246"/>
      <c r="F33" s="241" t="s">
        <v>398</v>
      </c>
      <c r="G33" s="60" t="s">
        <v>397</v>
      </c>
      <c r="H33" s="61">
        <v>0.7</v>
      </c>
      <c r="I33" s="55"/>
      <c r="J33" s="56"/>
      <c r="K33" s="57"/>
      <c r="L33" s="47"/>
      <c r="N33" s="63"/>
      <c r="O33" s="58">
        <f>ROUND((ROUND((_11_A通院１増３．５*_11・基礎１),0)*(1+_11・A深夜)),0)</f>
        <v>611</v>
      </c>
      <c r="P33" s="59"/>
    </row>
    <row r="34" spans="1:16" ht="16.5" customHeight="1" x14ac:dyDescent="0.2">
      <c r="A34" s="44">
        <v>16</v>
      </c>
      <c r="B34" s="53">
        <v>3994</v>
      </c>
      <c r="C34" s="69" t="s">
        <v>1415</v>
      </c>
      <c r="D34" s="84">
        <f>_11_A通院１増３．５</f>
        <v>581</v>
      </c>
      <c r="E34" s="25" t="s">
        <v>394</v>
      </c>
      <c r="F34" s="257"/>
      <c r="G34" s="49"/>
      <c r="H34" s="50"/>
      <c r="I34" s="55" t="s">
        <v>396</v>
      </c>
      <c r="J34" s="56" t="s">
        <v>397</v>
      </c>
      <c r="K34" s="57">
        <v>1</v>
      </c>
      <c r="L34" s="47"/>
      <c r="N34" s="63"/>
      <c r="O34" s="58">
        <f>ROUND((ROUND((ROUND((_11_A通院１増３．５*_11・基礎１),0)*_11・２人),0)*(1+_11・A深夜)),0)</f>
        <v>611</v>
      </c>
      <c r="P34" s="59"/>
    </row>
    <row r="35" spans="1:16" ht="16.5" customHeight="1" x14ac:dyDescent="0.2">
      <c r="A35" s="44">
        <v>16</v>
      </c>
      <c r="B35" s="53">
        <v>3995</v>
      </c>
      <c r="C35" s="69" t="s">
        <v>1416</v>
      </c>
      <c r="D35" s="243" t="s">
        <v>1964</v>
      </c>
      <c r="E35" s="244"/>
      <c r="F35" s="62"/>
      <c r="G35" s="60"/>
      <c r="H35" s="61"/>
      <c r="I35" s="55"/>
      <c r="J35" s="56"/>
      <c r="K35" s="57"/>
      <c r="L35" s="47"/>
      <c r="N35" s="63"/>
      <c r="O35" s="58">
        <f>ROUND((_11_A通院１増４．０*(1+_11・A深夜)),0)</f>
        <v>996</v>
      </c>
      <c r="P35" s="59"/>
    </row>
    <row r="36" spans="1:16" ht="16.5" customHeight="1" x14ac:dyDescent="0.2">
      <c r="A36" s="44">
        <v>16</v>
      </c>
      <c r="B36" s="53">
        <v>3996</v>
      </c>
      <c r="C36" s="69" t="s">
        <v>1417</v>
      </c>
      <c r="D36" s="245"/>
      <c r="E36" s="246"/>
      <c r="F36" s="54"/>
      <c r="G36" s="49"/>
      <c r="H36" s="50"/>
      <c r="I36" s="55" t="s">
        <v>396</v>
      </c>
      <c r="J36" s="56" t="s">
        <v>397</v>
      </c>
      <c r="K36" s="57">
        <v>1</v>
      </c>
      <c r="L36" s="47"/>
      <c r="N36" s="63"/>
      <c r="O36" s="58">
        <f>ROUND((ROUND((_11_A通院１増４．０*_11・２人),0)*(1+_11・A深夜)),0)</f>
        <v>996</v>
      </c>
      <c r="P36" s="59"/>
    </row>
    <row r="37" spans="1:16" ht="16.5" customHeight="1" x14ac:dyDescent="0.2">
      <c r="A37" s="44">
        <v>16</v>
      </c>
      <c r="B37" s="53">
        <v>3997</v>
      </c>
      <c r="C37" s="69" t="s">
        <v>1418</v>
      </c>
      <c r="D37" s="245"/>
      <c r="E37" s="246"/>
      <c r="F37" s="241" t="s">
        <v>398</v>
      </c>
      <c r="G37" s="60" t="s">
        <v>397</v>
      </c>
      <c r="H37" s="61">
        <v>0.7</v>
      </c>
      <c r="I37" s="55"/>
      <c r="J37" s="56"/>
      <c r="K37" s="57"/>
      <c r="L37" s="47"/>
      <c r="N37" s="63"/>
      <c r="O37" s="58">
        <f>ROUND((ROUND((_11_A通院１増４．０*_11・基礎１),0)*(1+_11・A深夜)),0)</f>
        <v>698</v>
      </c>
      <c r="P37" s="59"/>
    </row>
    <row r="38" spans="1:16" ht="16.5" customHeight="1" x14ac:dyDescent="0.2">
      <c r="A38" s="44">
        <v>16</v>
      </c>
      <c r="B38" s="53">
        <v>3998</v>
      </c>
      <c r="C38" s="69" t="s">
        <v>1419</v>
      </c>
      <c r="D38" s="84">
        <f>_11_A通院１増４．０</f>
        <v>664</v>
      </c>
      <c r="E38" s="25" t="s">
        <v>394</v>
      </c>
      <c r="F38" s="257"/>
      <c r="G38" s="49"/>
      <c r="H38" s="50"/>
      <c r="I38" s="55" t="s">
        <v>396</v>
      </c>
      <c r="J38" s="56" t="s">
        <v>397</v>
      </c>
      <c r="K38" s="57">
        <v>1</v>
      </c>
      <c r="L38" s="47"/>
      <c r="N38" s="63"/>
      <c r="O38" s="58">
        <f>ROUND((ROUND((ROUND((_11_A通院１増４．０*_11・基礎１),0)*_11・２人),0)*(1+_11・A深夜)),0)</f>
        <v>698</v>
      </c>
      <c r="P38" s="59"/>
    </row>
    <row r="39" spans="1:16" ht="16.5" customHeight="1" x14ac:dyDescent="0.2">
      <c r="A39" s="44">
        <v>16</v>
      </c>
      <c r="B39" s="53">
        <v>3999</v>
      </c>
      <c r="C39" s="69" t="s">
        <v>1420</v>
      </c>
      <c r="D39" s="243" t="s">
        <v>1965</v>
      </c>
      <c r="E39" s="244"/>
      <c r="F39" s="62"/>
      <c r="G39" s="60"/>
      <c r="H39" s="61"/>
      <c r="I39" s="55"/>
      <c r="J39" s="56"/>
      <c r="K39" s="57"/>
      <c r="L39" s="47"/>
      <c r="N39" s="63"/>
      <c r="O39" s="58">
        <f>ROUND((_11_A通院１増４．５*(1+_11・A深夜)),0)</f>
        <v>1121</v>
      </c>
      <c r="P39" s="59"/>
    </row>
    <row r="40" spans="1:16" ht="16.5" customHeight="1" x14ac:dyDescent="0.2">
      <c r="A40" s="44">
        <v>16</v>
      </c>
      <c r="B40" s="53">
        <v>4000</v>
      </c>
      <c r="C40" s="69" t="s">
        <v>1421</v>
      </c>
      <c r="D40" s="245"/>
      <c r="E40" s="246"/>
      <c r="F40" s="54"/>
      <c r="G40" s="49"/>
      <c r="H40" s="50"/>
      <c r="I40" s="55" t="s">
        <v>396</v>
      </c>
      <c r="J40" s="56" t="s">
        <v>397</v>
      </c>
      <c r="K40" s="57">
        <v>1</v>
      </c>
      <c r="L40" s="47"/>
      <c r="N40" s="63"/>
      <c r="O40" s="58">
        <f>ROUND((ROUND((_11_A通院１増４．５*_11・２人),0)*(1+_11・A深夜)),0)</f>
        <v>1121</v>
      </c>
      <c r="P40" s="59"/>
    </row>
    <row r="41" spans="1:16" ht="16.5" customHeight="1" x14ac:dyDescent="0.2">
      <c r="A41" s="44">
        <v>16</v>
      </c>
      <c r="B41" s="53">
        <v>4001</v>
      </c>
      <c r="C41" s="69" t="s">
        <v>1422</v>
      </c>
      <c r="D41" s="245"/>
      <c r="E41" s="246"/>
      <c r="F41" s="241" t="s">
        <v>398</v>
      </c>
      <c r="G41" s="60" t="s">
        <v>397</v>
      </c>
      <c r="H41" s="61">
        <v>0.7</v>
      </c>
      <c r="I41" s="55"/>
      <c r="J41" s="56"/>
      <c r="K41" s="57"/>
      <c r="L41" s="47"/>
      <c r="N41" s="63"/>
      <c r="O41" s="58">
        <f>ROUND((ROUND((_11_A通院１増４．５*_11・基礎１),0)*(1+_11・A深夜)),0)</f>
        <v>785</v>
      </c>
      <c r="P41" s="59"/>
    </row>
    <row r="42" spans="1:16" ht="16.5" customHeight="1" x14ac:dyDescent="0.2">
      <c r="A42" s="44">
        <v>16</v>
      </c>
      <c r="B42" s="53">
        <v>4002</v>
      </c>
      <c r="C42" s="69" t="s">
        <v>1423</v>
      </c>
      <c r="D42" s="84">
        <f>_11_A通院１増４．５</f>
        <v>747</v>
      </c>
      <c r="E42" s="25" t="s">
        <v>394</v>
      </c>
      <c r="F42" s="257"/>
      <c r="G42" s="49"/>
      <c r="H42" s="50"/>
      <c r="I42" s="55" t="s">
        <v>396</v>
      </c>
      <c r="J42" s="56" t="s">
        <v>397</v>
      </c>
      <c r="K42" s="57">
        <v>1</v>
      </c>
      <c r="L42" s="47"/>
      <c r="N42" s="63"/>
      <c r="O42" s="58">
        <f>ROUND((ROUND((ROUND((_11_A通院１増４．５*_11・基礎１),0)*_11・２人),0)*(1+_11・A深夜)),0)</f>
        <v>785</v>
      </c>
      <c r="P42" s="59"/>
    </row>
    <row r="43" spans="1:16" ht="16.5" customHeight="1" x14ac:dyDescent="0.2">
      <c r="A43" s="44">
        <v>16</v>
      </c>
      <c r="B43" s="44">
        <v>4003</v>
      </c>
      <c r="C43" s="45" t="s">
        <v>1424</v>
      </c>
      <c r="D43" s="245" t="s">
        <v>1966</v>
      </c>
      <c r="E43" s="246"/>
      <c r="F43" s="47"/>
      <c r="I43" s="48"/>
      <c r="J43" s="49"/>
      <c r="K43" s="50"/>
      <c r="L43" s="67"/>
      <c r="N43" s="63"/>
      <c r="O43" s="51">
        <f>ROUND((_11_A通院１増５．０*(1+_11・A深夜)),0)</f>
        <v>1245</v>
      </c>
      <c r="P43" s="52"/>
    </row>
    <row r="44" spans="1:16" ht="16.5" customHeight="1" x14ac:dyDescent="0.2">
      <c r="A44" s="44">
        <v>16</v>
      </c>
      <c r="B44" s="53">
        <v>4004</v>
      </c>
      <c r="C44" s="69" t="s">
        <v>1425</v>
      </c>
      <c r="D44" s="245"/>
      <c r="E44" s="246"/>
      <c r="F44" s="54"/>
      <c r="G44" s="49"/>
      <c r="H44" s="50"/>
      <c r="I44" s="55" t="s">
        <v>396</v>
      </c>
      <c r="J44" s="56" t="s">
        <v>397</v>
      </c>
      <c r="K44" s="57">
        <v>1</v>
      </c>
      <c r="L44" s="47"/>
      <c r="N44" s="248"/>
      <c r="O44" s="58">
        <f>ROUND((ROUND((_11_A通院１増５．０*_11・２人),0)*(1+_11・A深夜)),0)</f>
        <v>1245</v>
      </c>
      <c r="P44" s="59"/>
    </row>
    <row r="45" spans="1:16" ht="16.5" customHeight="1" x14ac:dyDescent="0.2">
      <c r="A45" s="44">
        <v>16</v>
      </c>
      <c r="B45" s="53">
        <v>4005</v>
      </c>
      <c r="C45" s="69" t="s">
        <v>1426</v>
      </c>
      <c r="D45" s="245"/>
      <c r="E45" s="246"/>
      <c r="F45" s="241" t="s">
        <v>398</v>
      </c>
      <c r="G45" s="60" t="s">
        <v>397</v>
      </c>
      <c r="H45" s="61">
        <v>0.7</v>
      </c>
      <c r="I45" s="55"/>
      <c r="J45" s="56"/>
      <c r="K45" s="57"/>
      <c r="L45" s="47"/>
      <c r="N45" s="248"/>
      <c r="O45" s="58">
        <f>ROUND((ROUND((_11_A通院１増５．０*_11・基礎１),0)*(1+_11・A深夜)),0)</f>
        <v>872</v>
      </c>
      <c r="P45" s="59"/>
    </row>
    <row r="46" spans="1:16" ht="16.5" customHeight="1" x14ac:dyDescent="0.2">
      <c r="A46" s="44">
        <v>16</v>
      </c>
      <c r="B46" s="53">
        <v>4006</v>
      </c>
      <c r="C46" s="69" t="s">
        <v>1427</v>
      </c>
      <c r="D46" s="84">
        <f>_11_A通院１増５．０</f>
        <v>830</v>
      </c>
      <c r="E46" s="25" t="s">
        <v>394</v>
      </c>
      <c r="F46" s="257"/>
      <c r="G46" s="49"/>
      <c r="H46" s="50"/>
      <c r="I46" s="55" t="s">
        <v>396</v>
      </c>
      <c r="J46" s="56" t="s">
        <v>397</v>
      </c>
      <c r="K46" s="57">
        <v>1</v>
      </c>
      <c r="L46" s="47"/>
      <c r="N46" s="63"/>
      <c r="O46" s="58">
        <f>ROUND((ROUND((ROUND((_11_A通院１増５．０*_11・基礎１),0)*_11・２人),0)*(1+_11・A深夜)),0)</f>
        <v>872</v>
      </c>
      <c r="P46" s="59"/>
    </row>
    <row r="47" spans="1:16" ht="16.5" customHeight="1" x14ac:dyDescent="0.2">
      <c r="A47" s="44">
        <v>16</v>
      </c>
      <c r="B47" s="53">
        <v>4007</v>
      </c>
      <c r="C47" s="69" t="s">
        <v>1428</v>
      </c>
      <c r="D47" s="243" t="s">
        <v>1967</v>
      </c>
      <c r="E47" s="244"/>
      <c r="F47" s="62"/>
      <c r="G47" s="60"/>
      <c r="H47" s="61"/>
      <c r="I47" s="55"/>
      <c r="J47" s="56"/>
      <c r="K47" s="57"/>
      <c r="L47" s="47"/>
      <c r="N47" s="63"/>
      <c r="O47" s="58">
        <f>ROUND((_11_A通院１増５．５*(1+_11・A深夜)),0)</f>
        <v>1370</v>
      </c>
      <c r="P47" s="59"/>
    </row>
    <row r="48" spans="1:16" ht="16.5" customHeight="1" x14ac:dyDescent="0.2">
      <c r="A48" s="44">
        <v>16</v>
      </c>
      <c r="B48" s="53">
        <v>4008</v>
      </c>
      <c r="C48" s="69" t="s">
        <v>1429</v>
      </c>
      <c r="D48" s="245"/>
      <c r="E48" s="246"/>
      <c r="F48" s="54"/>
      <c r="G48" s="49"/>
      <c r="H48" s="50"/>
      <c r="I48" s="55" t="s">
        <v>396</v>
      </c>
      <c r="J48" s="56" t="s">
        <v>397</v>
      </c>
      <c r="K48" s="57">
        <v>1</v>
      </c>
      <c r="L48" s="47"/>
      <c r="N48" s="63"/>
      <c r="O48" s="58">
        <f>ROUND((ROUND((_11_A通院１増５．５*_11・２人),0)*(1+_11・A深夜)),0)</f>
        <v>1370</v>
      </c>
      <c r="P48" s="59"/>
    </row>
    <row r="49" spans="1:16" ht="16.5" customHeight="1" x14ac:dyDescent="0.2">
      <c r="A49" s="44">
        <v>16</v>
      </c>
      <c r="B49" s="53">
        <v>4009</v>
      </c>
      <c r="C49" s="69" t="s">
        <v>1430</v>
      </c>
      <c r="D49" s="245"/>
      <c r="E49" s="246"/>
      <c r="F49" s="241" t="s">
        <v>398</v>
      </c>
      <c r="G49" s="60" t="s">
        <v>397</v>
      </c>
      <c r="H49" s="61">
        <v>0.7</v>
      </c>
      <c r="I49" s="55"/>
      <c r="J49" s="56"/>
      <c r="K49" s="57"/>
      <c r="L49" s="47"/>
      <c r="N49" s="63"/>
      <c r="O49" s="58">
        <f>ROUND((ROUND((_11_A通院１増５．５*_11・基礎１),0)*(1+_11・A深夜)),0)</f>
        <v>959</v>
      </c>
      <c r="P49" s="59"/>
    </row>
    <row r="50" spans="1:16" ht="16.5" customHeight="1" x14ac:dyDescent="0.2">
      <c r="A50" s="44">
        <v>16</v>
      </c>
      <c r="B50" s="53">
        <v>4010</v>
      </c>
      <c r="C50" s="69" t="s">
        <v>1431</v>
      </c>
      <c r="D50" s="84">
        <f>_11_A通院１増５．５</f>
        <v>913</v>
      </c>
      <c r="E50" s="25" t="s">
        <v>394</v>
      </c>
      <c r="F50" s="257"/>
      <c r="G50" s="49"/>
      <c r="H50" s="50"/>
      <c r="I50" s="55" t="s">
        <v>396</v>
      </c>
      <c r="J50" s="56" t="s">
        <v>397</v>
      </c>
      <c r="K50" s="57">
        <v>1</v>
      </c>
      <c r="L50" s="47"/>
      <c r="N50" s="63"/>
      <c r="O50" s="58">
        <f>ROUND((ROUND((ROUND((_11_A通院１増５．５*_11・基礎１),0)*_11・２人),0)*(1+_11・A深夜)),0)</f>
        <v>959</v>
      </c>
      <c r="P50" s="59"/>
    </row>
    <row r="51" spans="1:16" ht="16.5" customHeight="1" x14ac:dyDescent="0.2">
      <c r="A51" s="44">
        <v>16</v>
      </c>
      <c r="B51" s="53">
        <v>4011</v>
      </c>
      <c r="C51" s="69" t="s">
        <v>1432</v>
      </c>
      <c r="D51" s="237" t="s">
        <v>1968</v>
      </c>
      <c r="E51" s="238"/>
      <c r="F51" s="62"/>
      <c r="G51" s="60"/>
      <c r="H51" s="61"/>
      <c r="I51" s="55"/>
      <c r="J51" s="56"/>
      <c r="K51" s="57"/>
      <c r="L51" s="47"/>
      <c r="N51" s="63"/>
      <c r="O51" s="58">
        <f>ROUND((_11_A通院１増６．０*(1+_11・A深夜)),0)</f>
        <v>1494</v>
      </c>
      <c r="P51" s="59"/>
    </row>
    <row r="52" spans="1:16" ht="16.5" customHeight="1" x14ac:dyDescent="0.2">
      <c r="A52" s="44">
        <v>16</v>
      </c>
      <c r="B52" s="53">
        <v>4012</v>
      </c>
      <c r="C52" s="69" t="s">
        <v>1433</v>
      </c>
      <c r="D52" s="239"/>
      <c r="E52" s="240"/>
      <c r="F52" s="54"/>
      <c r="G52" s="49"/>
      <c r="H52" s="50"/>
      <c r="I52" s="55" t="s">
        <v>396</v>
      </c>
      <c r="J52" s="56" t="s">
        <v>397</v>
      </c>
      <c r="K52" s="57">
        <v>1</v>
      </c>
      <c r="L52" s="47"/>
      <c r="N52" s="63"/>
      <c r="O52" s="58">
        <f>ROUND((ROUND((_11_A通院１増６．０*_11・２人),0)*(1+_11・A深夜)),0)</f>
        <v>1494</v>
      </c>
      <c r="P52" s="59"/>
    </row>
    <row r="53" spans="1:16" ht="16.5" customHeight="1" x14ac:dyDescent="0.2">
      <c r="A53" s="44">
        <v>16</v>
      </c>
      <c r="B53" s="53">
        <v>4013</v>
      </c>
      <c r="C53" s="69" t="s">
        <v>1434</v>
      </c>
      <c r="D53" s="239"/>
      <c r="E53" s="240"/>
      <c r="F53" s="241" t="s">
        <v>398</v>
      </c>
      <c r="G53" s="60" t="s">
        <v>397</v>
      </c>
      <c r="H53" s="61">
        <v>0.7</v>
      </c>
      <c r="I53" s="55"/>
      <c r="J53" s="56"/>
      <c r="K53" s="57"/>
      <c r="L53" s="47"/>
      <c r="N53" s="63"/>
      <c r="O53" s="58">
        <f>ROUND((ROUND((_11_A通院１増６．０*_11・基礎１),0)*(1+_11・A深夜)),0)</f>
        <v>1046</v>
      </c>
      <c r="P53" s="59"/>
    </row>
    <row r="54" spans="1:16" ht="16.5" customHeight="1" x14ac:dyDescent="0.2">
      <c r="A54" s="44">
        <v>16</v>
      </c>
      <c r="B54" s="53">
        <v>4014</v>
      </c>
      <c r="C54" s="69" t="s">
        <v>1435</v>
      </c>
      <c r="D54" s="84">
        <f>_11_A通院１増６．０</f>
        <v>996</v>
      </c>
      <c r="E54" s="25" t="s">
        <v>394</v>
      </c>
      <c r="F54" s="257"/>
      <c r="G54" s="49"/>
      <c r="H54" s="50"/>
      <c r="I54" s="55" t="s">
        <v>396</v>
      </c>
      <c r="J54" s="56" t="s">
        <v>397</v>
      </c>
      <c r="K54" s="57">
        <v>1</v>
      </c>
      <c r="L54" s="47"/>
      <c r="N54" s="63"/>
      <c r="O54" s="58">
        <f>ROUND((ROUND((ROUND((_11_A通院１増６．０*_11・基礎１),0)*_11・２人),0)*(1+_11・A深夜)),0)</f>
        <v>1046</v>
      </c>
      <c r="P54" s="59"/>
    </row>
    <row r="55" spans="1:16" ht="16.5" customHeight="1" x14ac:dyDescent="0.2">
      <c r="A55" s="44">
        <v>16</v>
      </c>
      <c r="B55" s="53">
        <v>4015</v>
      </c>
      <c r="C55" s="69" t="s">
        <v>1436</v>
      </c>
      <c r="D55" s="243" t="s">
        <v>1969</v>
      </c>
      <c r="E55" s="244"/>
      <c r="F55" s="62"/>
      <c r="G55" s="60"/>
      <c r="H55" s="61"/>
      <c r="I55" s="55"/>
      <c r="J55" s="56"/>
      <c r="K55" s="57"/>
      <c r="L55" s="47"/>
      <c r="M55" s="176"/>
      <c r="N55" s="63"/>
      <c r="O55" s="58">
        <f>ROUND((_11_A通院１増６．５*(1+_11・A深夜)),0)</f>
        <v>1619</v>
      </c>
      <c r="P55" s="59"/>
    </row>
    <row r="56" spans="1:16" ht="16.5" customHeight="1" x14ac:dyDescent="0.2">
      <c r="A56" s="44">
        <v>16</v>
      </c>
      <c r="B56" s="53">
        <v>4016</v>
      </c>
      <c r="C56" s="69" t="s">
        <v>1437</v>
      </c>
      <c r="D56" s="245"/>
      <c r="E56" s="246"/>
      <c r="F56" s="54"/>
      <c r="G56" s="49"/>
      <c r="H56" s="50"/>
      <c r="I56" s="55" t="s">
        <v>396</v>
      </c>
      <c r="J56" s="56" t="s">
        <v>397</v>
      </c>
      <c r="K56" s="57">
        <v>1</v>
      </c>
      <c r="L56" s="47"/>
      <c r="M56" s="176"/>
      <c r="N56" s="63"/>
      <c r="O56" s="58">
        <f>ROUND((ROUND((_11_A通院１増６．５*_11・２人),0)*(1+_11・A深夜)),0)</f>
        <v>1619</v>
      </c>
      <c r="P56" s="59"/>
    </row>
    <row r="57" spans="1:16" ht="16.5" customHeight="1" x14ac:dyDescent="0.2">
      <c r="A57" s="44">
        <v>16</v>
      </c>
      <c r="B57" s="53">
        <v>4017</v>
      </c>
      <c r="C57" s="69" t="s">
        <v>1438</v>
      </c>
      <c r="D57" s="245"/>
      <c r="E57" s="246"/>
      <c r="F57" s="241" t="s">
        <v>398</v>
      </c>
      <c r="G57" s="60" t="s">
        <v>397</v>
      </c>
      <c r="H57" s="61">
        <v>0.7</v>
      </c>
      <c r="I57" s="55"/>
      <c r="J57" s="56"/>
      <c r="K57" s="57"/>
      <c r="L57" s="47"/>
      <c r="M57" s="176"/>
      <c r="N57" s="63"/>
      <c r="O57" s="58">
        <f>ROUND((ROUND((_11_A通院１増６．５*_11・基礎１),0)*(1+_11・A深夜)),0)</f>
        <v>1133</v>
      </c>
      <c r="P57" s="59"/>
    </row>
    <row r="58" spans="1:16" ht="16.5" customHeight="1" x14ac:dyDescent="0.2">
      <c r="A58" s="44">
        <v>16</v>
      </c>
      <c r="B58" s="53">
        <v>4018</v>
      </c>
      <c r="C58" s="69" t="s">
        <v>1439</v>
      </c>
      <c r="D58" s="110">
        <f>_11_A通院１増６．５</f>
        <v>1079</v>
      </c>
      <c r="E58" s="49" t="s">
        <v>394</v>
      </c>
      <c r="F58" s="257"/>
      <c r="G58" s="49"/>
      <c r="H58" s="50"/>
      <c r="I58" s="55" t="s">
        <v>396</v>
      </c>
      <c r="J58" s="56" t="s">
        <v>397</v>
      </c>
      <c r="K58" s="57">
        <v>1</v>
      </c>
      <c r="L58" s="54"/>
      <c r="M58" s="50"/>
      <c r="N58" s="97"/>
      <c r="O58" s="58">
        <f>ROUND((ROUND((ROUND((_11_A通院１増６．５*_11・基礎１),0)*_11・２人),0)*(1+_11・A深夜)),0)</f>
        <v>1133</v>
      </c>
      <c r="P58" s="111"/>
    </row>
    <row r="59" spans="1:16" ht="16.5" customHeight="1" x14ac:dyDescent="0.2"/>
    <row r="60" spans="1:16" ht="16.5" customHeight="1" x14ac:dyDescent="0.2"/>
  </sheetData>
  <mergeCells count="28">
    <mergeCell ref="D7:E9"/>
    <mergeCell ref="N8:N9"/>
    <mergeCell ref="F9:F10"/>
    <mergeCell ref="D19:E21"/>
    <mergeCell ref="F21:F22"/>
    <mergeCell ref="D15:E17"/>
    <mergeCell ref="F17:F18"/>
    <mergeCell ref="D11:E13"/>
    <mergeCell ref="F13:F14"/>
    <mergeCell ref="N44:N45"/>
    <mergeCell ref="F45:F46"/>
    <mergeCell ref="D31:E33"/>
    <mergeCell ref="F33:F34"/>
    <mergeCell ref="D23:E25"/>
    <mergeCell ref="F25:F26"/>
    <mergeCell ref="D27:E29"/>
    <mergeCell ref="F29:F30"/>
    <mergeCell ref="D55:E57"/>
    <mergeCell ref="F57:F58"/>
    <mergeCell ref="D51:E53"/>
    <mergeCell ref="F53:F54"/>
    <mergeCell ref="D35:E37"/>
    <mergeCell ref="F37:F38"/>
    <mergeCell ref="D47:E49"/>
    <mergeCell ref="F49:F50"/>
    <mergeCell ref="D39:E41"/>
    <mergeCell ref="F41:F42"/>
    <mergeCell ref="D43:E4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W60"/>
  <sheetViews>
    <sheetView workbookViewId="0">
      <selection activeCell="A2" sqref="A2"/>
    </sheetView>
  </sheetViews>
  <sheetFormatPr defaultColWidth="8.90625" defaultRowHeight="14" x14ac:dyDescent="0.2"/>
  <cols>
    <col min="1" max="1" width="4.6328125" style="22" customWidth="1"/>
    <col min="2" max="2" width="7.6328125" style="22" customWidth="1"/>
    <col min="3" max="3" width="33.6328125" style="23" bestFit="1" customWidth="1"/>
    <col min="4" max="4" width="6" style="23" bestFit="1" customWidth="1"/>
    <col min="5" max="5" width="5.36328125" style="90" bestFit="1" customWidth="1"/>
    <col min="6" max="6" width="11.90625" style="25" customWidth="1"/>
    <col min="7" max="7" width="3.453125" style="25" bestFit="1" customWidth="1"/>
    <col min="8" max="8" width="4.453125" style="26" bestFit="1" customWidth="1"/>
    <col min="9" max="9" width="25.36328125" style="27" bestFit="1" customWidth="1"/>
    <col min="10" max="10" width="3.453125" style="25" bestFit="1" customWidth="1"/>
    <col min="11" max="11" width="5.453125" style="26" bestFit="1" customWidth="1"/>
    <col min="12" max="12" width="3.453125" style="25" bestFit="1" customWidth="1"/>
    <col min="13" max="13" width="4.453125" style="26" bestFit="1" customWidth="1"/>
    <col min="14" max="14" width="5.36328125" style="25" bestFit="1" customWidth="1"/>
    <col min="15" max="15" width="7.08984375" style="28" customWidth="1"/>
    <col min="16" max="16" width="8.6328125" style="29" customWidth="1"/>
    <col min="17" max="21" width="8.90625" style="25"/>
    <col min="22" max="22" width="7.6328125" style="22" customWidth="1"/>
    <col min="23" max="16384" width="8.90625" style="25"/>
  </cols>
  <sheetData>
    <row r="1" spans="1:23" ht="17.149999999999999" customHeight="1" x14ac:dyDescent="0.2"/>
    <row r="2" spans="1:23" ht="17.149999999999999" customHeight="1" x14ac:dyDescent="0.2">
      <c r="A2" s="236" t="s">
        <v>2795</v>
      </c>
    </row>
    <row r="3" spans="1:23" ht="17.149999999999999" customHeight="1" x14ac:dyDescent="0.2"/>
    <row r="4" spans="1:23" ht="17.149999999999999" customHeight="1" x14ac:dyDescent="0.2">
      <c r="B4" s="30" t="s">
        <v>2155</v>
      </c>
      <c r="D4" s="65"/>
      <c r="V4" s="30" t="s">
        <v>2155</v>
      </c>
    </row>
    <row r="5" spans="1:23" ht="16.5" customHeight="1" x14ac:dyDescent="0.2">
      <c r="A5" s="31" t="s">
        <v>386</v>
      </c>
      <c r="B5" s="32"/>
      <c r="C5" s="33" t="s">
        <v>387</v>
      </c>
      <c r="D5" s="34" t="s">
        <v>388</v>
      </c>
      <c r="E5" s="91"/>
      <c r="F5" s="34"/>
      <c r="G5" s="34"/>
      <c r="H5" s="35"/>
      <c r="I5" s="34"/>
      <c r="J5" s="34"/>
      <c r="K5" s="35"/>
      <c r="L5" s="34"/>
      <c r="M5" s="35"/>
      <c r="N5" s="34"/>
      <c r="O5" s="36" t="s">
        <v>389</v>
      </c>
      <c r="P5" s="33" t="s">
        <v>390</v>
      </c>
      <c r="V5" s="32"/>
    </row>
    <row r="6" spans="1:23" ht="16.5" customHeight="1" x14ac:dyDescent="0.2">
      <c r="A6" s="37" t="s">
        <v>391</v>
      </c>
      <c r="B6" s="37" t="s">
        <v>392</v>
      </c>
      <c r="C6" s="38"/>
      <c r="D6" s="40"/>
      <c r="E6" s="93"/>
      <c r="F6" s="40"/>
      <c r="G6" s="40"/>
      <c r="H6" s="41"/>
      <c r="I6" s="40"/>
      <c r="J6" s="40"/>
      <c r="K6" s="41"/>
      <c r="L6" s="40"/>
      <c r="M6" s="41"/>
      <c r="N6" s="40"/>
      <c r="O6" s="42" t="s">
        <v>393</v>
      </c>
      <c r="P6" s="43" t="s">
        <v>394</v>
      </c>
      <c r="V6" s="37" t="s">
        <v>392</v>
      </c>
      <c r="W6" s="25" t="s">
        <v>2790</v>
      </c>
    </row>
    <row r="7" spans="1:23" ht="16.5" customHeight="1" x14ac:dyDescent="0.2">
      <c r="A7" s="184">
        <v>16</v>
      </c>
      <c r="B7" s="184">
        <v>4429</v>
      </c>
      <c r="C7" s="207" t="s">
        <v>2156</v>
      </c>
      <c r="D7" s="259" t="s">
        <v>2208</v>
      </c>
      <c r="E7" s="260"/>
      <c r="F7" s="185"/>
      <c r="G7" s="186"/>
      <c r="H7" s="187"/>
      <c r="I7" s="188"/>
      <c r="J7" s="189"/>
      <c r="K7" s="190"/>
      <c r="L7" s="208" t="s">
        <v>402</v>
      </c>
      <c r="M7" s="187"/>
      <c r="N7" s="209"/>
      <c r="O7" s="191">
        <v>126</v>
      </c>
      <c r="P7" s="192" t="s">
        <v>395</v>
      </c>
      <c r="V7" s="184" t="s">
        <v>2350</v>
      </c>
    </row>
    <row r="8" spans="1:23" ht="16.5" customHeight="1" x14ac:dyDescent="0.2">
      <c r="A8" s="193">
        <v>16</v>
      </c>
      <c r="B8" s="184">
        <v>4430</v>
      </c>
      <c r="C8" s="210" t="s">
        <v>2157</v>
      </c>
      <c r="D8" s="261"/>
      <c r="E8" s="260"/>
      <c r="F8" s="194"/>
      <c r="G8" s="189"/>
      <c r="H8" s="190"/>
      <c r="I8" s="195" t="s">
        <v>396</v>
      </c>
      <c r="J8" s="196" t="s">
        <v>397</v>
      </c>
      <c r="K8" s="197">
        <v>1</v>
      </c>
      <c r="L8" s="185" t="s">
        <v>397</v>
      </c>
      <c r="M8" s="187">
        <v>0.5</v>
      </c>
      <c r="N8" s="266" t="s">
        <v>400</v>
      </c>
      <c r="O8" s="198">
        <v>126</v>
      </c>
      <c r="P8" s="199"/>
      <c r="V8" s="184" t="s">
        <v>2351</v>
      </c>
    </row>
    <row r="9" spans="1:23" ht="16.5" customHeight="1" x14ac:dyDescent="0.2">
      <c r="A9" s="193">
        <v>16</v>
      </c>
      <c r="B9" s="184">
        <v>4431</v>
      </c>
      <c r="C9" s="210" t="s">
        <v>2158</v>
      </c>
      <c r="D9" s="261"/>
      <c r="E9" s="260"/>
      <c r="F9" s="262" t="s">
        <v>398</v>
      </c>
      <c r="G9" s="200" t="s">
        <v>397</v>
      </c>
      <c r="H9" s="201">
        <v>0.7</v>
      </c>
      <c r="I9" s="195"/>
      <c r="J9" s="196"/>
      <c r="K9" s="197"/>
      <c r="L9" s="185"/>
      <c r="M9" s="187"/>
      <c r="N9" s="267"/>
      <c r="O9" s="198">
        <v>89</v>
      </c>
      <c r="P9" s="199"/>
      <c r="V9" s="184" t="s">
        <v>2352</v>
      </c>
    </row>
    <row r="10" spans="1:23" ht="16.5" customHeight="1" x14ac:dyDescent="0.2">
      <c r="A10" s="193">
        <v>16</v>
      </c>
      <c r="B10" s="184">
        <v>4432</v>
      </c>
      <c r="C10" s="210" t="s">
        <v>2159</v>
      </c>
      <c r="D10" s="203">
        <v>84</v>
      </c>
      <c r="E10" s="186" t="s">
        <v>394</v>
      </c>
      <c r="F10" s="263"/>
      <c r="G10" s="189"/>
      <c r="H10" s="190"/>
      <c r="I10" s="195" t="s">
        <v>396</v>
      </c>
      <c r="J10" s="196" t="s">
        <v>397</v>
      </c>
      <c r="K10" s="197">
        <v>1</v>
      </c>
      <c r="L10" s="185"/>
      <c r="M10" s="187"/>
      <c r="N10" s="209"/>
      <c r="O10" s="198">
        <v>89</v>
      </c>
      <c r="P10" s="199"/>
      <c r="V10" s="184" t="s">
        <v>2353</v>
      </c>
    </row>
    <row r="11" spans="1:23" ht="16.5" customHeight="1" x14ac:dyDescent="0.2">
      <c r="A11" s="193">
        <v>16</v>
      </c>
      <c r="B11" s="184">
        <v>4433</v>
      </c>
      <c r="C11" s="210" t="s">
        <v>2160</v>
      </c>
      <c r="D11" s="264" t="s">
        <v>2402</v>
      </c>
      <c r="E11" s="265"/>
      <c r="F11" s="202"/>
      <c r="G11" s="200"/>
      <c r="H11" s="201"/>
      <c r="I11" s="195"/>
      <c r="J11" s="196"/>
      <c r="K11" s="197"/>
      <c r="L11" s="185"/>
      <c r="M11" s="187"/>
      <c r="N11" s="209"/>
      <c r="O11" s="198">
        <v>251</v>
      </c>
      <c r="P11" s="199"/>
      <c r="V11" s="184" t="s">
        <v>2354</v>
      </c>
    </row>
    <row r="12" spans="1:23" ht="16.5" customHeight="1" x14ac:dyDescent="0.2">
      <c r="A12" s="193">
        <v>16</v>
      </c>
      <c r="B12" s="184">
        <v>4434</v>
      </c>
      <c r="C12" s="210" t="s">
        <v>2161</v>
      </c>
      <c r="D12" s="261"/>
      <c r="E12" s="260"/>
      <c r="F12" s="194"/>
      <c r="G12" s="189"/>
      <c r="H12" s="190"/>
      <c r="I12" s="195" t="s">
        <v>396</v>
      </c>
      <c r="J12" s="196" t="s">
        <v>397</v>
      </c>
      <c r="K12" s="197">
        <v>1</v>
      </c>
      <c r="L12" s="185"/>
      <c r="M12" s="187"/>
      <c r="N12" s="209"/>
      <c r="O12" s="198">
        <v>251</v>
      </c>
      <c r="P12" s="199"/>
      <c r="V12" s="184" t="s">
        <v>2355</v>
      </c>
    </row>
    <row r="13" spans="1:23" ht="16.5" customHeight="1" x14ac:dyDescent="0.2">
      <c r="A13" s="193">
        <v>16</v>
      </c>
      <c r="B13" s="184">
        <v>4435</v>
      </c>
      <c r="C13" s="210" t="s">
        <v>2162</v>
      </c>
      <c r="D13" s="261"/>
      <c r="E13" s="260"/>
      <c r="F13" s="262" t="s">
        <v>398</v>
      </c>
      <c r="G13" s="200" t="s">
        <v>397</v>
      </c>
      <c r="H13" s="201">
        <v>0.7</v>
      </c>
      <c r="I13" s="195"/>
      <c r="J13" s="196"/>
      <c r="K13" s="197"/>
      <c r="L13" s="185"/>
      <c r="M13" s="187"/>
      <c r="N13" s="209"/>
      <c r="O13" s="198">
        <v>176</v>
      </c>
      <c r="P13" s="199"/>
      <c r="V13" s="184" t="s">
        <v>2356</v>
      </c>
    </row>
    <row r="14" spans="1:23" ht="16.5" customHeight="1" x14ac:dyDescent="0.2">
      <c r="A14" s="193">
        <v>16</v>
      </c>
      <c r="B14" s="184">
        <v>4436</v>
      </c>
      <c r="C14" s="210" t="s">
        <v>2163</v>
      </c>
      <c r="D14" s="203">
        <v>167</v>
      </c>
      <c r="E14" s="186" t="s">
        <v>394</v>
      </c>
      <c r="F14" s="261"/>
      <c r="G14" s="189"/>
      <c r="H14" s="190"/>
      <c r="I14" s="195" t="s">
        <v>396</v>
      </c>
      <c r="J14" s="196" t="s">
        <v>397</v>
      </c>
      <c r="K14" s="197">
        <v>1</v>
      </c>
      <c r="L14" s="185"/>
      <c r="M14" s="187"/>
      <c r="N14" s="209"/>
      <c r="O14" s="198">
        <v>176</v>
      </c>
      <c r="P14" s="199"/>
      <c r="V14" s="184" t="s">
        <v>2357</v>
      </c>
    </row>
    <row r="15" spans="1:23" ht="16.5" customHeight="1" x14ac:dyDescent="0.2">
      <c r="A15" s="193">
        <v>16</v>
      </c>
      <c r="B15" s="184">
        <v>4437</v>
      </c>
      <c r="C15" s="210" t="s">
        <v>2164</v>
      </c>
      <c r="D15" s="264" t="s">
        <v>1959</v>
      </c>
      <c r="E15" s="265"/>
      <c r="F15" s="202"/>
      <c r="G15" s="200"/>
      <c r="H15" s="201"/>
      <c r="I15" s="195"/>
      <c r="J15" s="196"/>
      <c r="K15" s="197"/>
      <c r="L15" s="185"/>
      <c r="M15" s="187"/>
      <c r="N15" s="209"/>
      <c r="O15" s="198">
        <v>375</v>
      </c>
      <c r="P15" s="199"/>
      <c r="V15" s="184" t="s">
        <v>2358</v>
      </c>
    </row>
    <row r="16" spans="1:23" ht="16.5" customHeight="1" x14ac:dyDescent="0.2">
      <c r="A16" s="193">
        <v>16</v>
      </c>
      <c r="B16" s="184">
        <v>4438</v>
      </c>
      <c r="C16" s="210" t="s">
        <v>2165</v>
      </c>
      <c r="D16" s="261"/>
      <c r="E16" s="260"/>
      <c r="F16" s="194"/>
      <c r="G16" s="189"/>
      <c r="H16" s="190"/>
      <c r="I16" s="195" t="s">
        <v>396</v>
      </c>
      <c r="J16" s="196" t="s">
        <v>397</v>
      </c>
      <c r="K16" s="197">
        <v>1</v>
      </c>
      <c r="L16" s="185"/>
      <c r="M16" s="187"/>
      <c r="N16" s="209"/>
      <c r="O16" s="198">
        <v>375</v>
      </c>
      <c r="P16" s="199"/>
      <c r="V16" s="184" t="s">
        <v>2359</v>
      </c>
    </row>
    <row r="17" spans="1:22" ht="16.5" customHeight="1" x14ac:dyDescent="0.2">
      <c r="A17" s="193">
        <v>16</v>
      </c>
      <c r="B17" s="184">
        <v>4439</v>
      </c>
      <c r="C17" s="210" t="s">
        <v>2166</v>
      </c>
      <c r="D17" s="261"/>
      <c r="E17" s="260"/>
      <c r="F17" s="262" t="s">
        <v>398</v>
      </c>
      <c r="G17" s="200" t="s">
        <v>397</v>
      </c>
      <c r="H17" s="201">
        <v>0.7</v>
      </c>
      <c r="I17" s="195"/>
      <c r="J17" s="196"/>
      <c r="K17" s="197"/>
      <c r="L17" s="185"/>
      <c r="M17" s="187"/>
      <c r="N17" s="209"/>
      <c r="O17" s="198">
        <v>263</v>
      </c>
      <c r="P17" s="199"/>
      <c r="V17" s="184" t="s">
        <v>2360</v>
      </c>
    </row>
    <row r="18" spans="1:22" ht="16.5" customHeight="1" x14ac:dyDescent="0.2">
      <c r="A18" s="193">
        <v>16</v>
      </c>
      <c r="B18" s="184">
        <v>4440</v>
      </c>
      <c r="C18" s="210" t="s">
        <v>2167</v>
      </c>
      <c r="D18" s="203">
        <v>250</v>
      </c>
      <c r="E18" s="186" t="s">
        <v>394</v>
      </c>
      <c r="F18" s="263"/>
      <c r="G18" s="189"/>
      <c r="H18" s="190"/>
      <c r="I18" s="195" t="s">
        <v>396</v>
      </c>
      <c r="J18" s="196" t="s">
        <v>397</v>
      </c>
      <c r="K18" s="197">
        <v>1</v>
      </c>
      <c r="L18" s="185"/>
      <c r="M18" s="187"/>
      <c r="N18" s="209"/>
      <c r="O18" s="198">
        <v>263</v>
      </c>
      <c r="P18" s="199"/>
      <c r="V18" s="184" t="s">
        <v>2361</v>
      </c>
    </row>
    <row r="19" spans="1:22" ht="16.5" customHeight="1" x14ac:dyDescent="0.2">
      <c r="A19" s="193">
        <v>16</v>
      </c>
      <c r="B19" s="184">
        <v>4441</v>
      </c>
      <c r="C19" s="210" t="s">
        <v>2168</v>
      </c>
      <c r="D19" s="264" t="s">
        <v>1960</v>
      </c>
      <c r="E19" s="265"/>
      <c r="F19" s="202"/>
      <c r="G19" s="200"/>
      <c r="H19" s="201"/>
      <c r="I19" s="195"/>
      <c r="J19" s="196"/>
      <c r="K19" s="197"/>
      <c r="L19" s="185"/>
      <c r="M19" s="187"/>
      <c r="N19" s="209"/>
      <c r="O19" s="198">
        <v>500</v>
      </c>
      <c r="P19" s="199"/>
      <c r="V19" s="184" t="s">
        <v>2362</v>
      </c>
    </row>
    <row r="20" spans="1:22" ht="16.5" customHeight="1" x14ac:dyDescent="0.2">
      <c r="A20" s="193">
        <v>16</v>
      </c>
      <c r="B20" s="184">
        <v>4442</v>
      </c>
      <c r="C20" s="210" t="s">
        <v>2169</v>
      </c>
      <c r="D20" s="261"/>
      <c r="E20" s="260"/>
      <c r="F20" s="194"/>
      <c r="G20" s="189"/>
      <c r="H20" s="190"/>
      <c r="I20" s="195" t="s">
        <v>396</v>
      </c>
      <c r="J20" s="196" t="s">
        <v>397</v>
      </c>
      <c r="K20" s="197">
        <v>1</v>
      </c>
      <c r="L20" s="185"/>
      <c r="M20" s="187"/>
      <c r="N20" s="209"/>
      <c r="O20" s="198">
        <v>500</v>
      </c>
      <c r="P20" s="199"/>
      <c r="V20" s="184" t="s">
        <v>2363</v>
      </c>
    </row>
    <row r="21" spans="1:22" ht="16.5" customHeight="1" x14ac:dyDescent="0.2">
      <c r="A21" s="193">
        <v>16</v>
      </c>
      <c r="B21" s="184">
        <v>4443</v>
      </c>
      <c r="C21" s="210" t="s">
        <v>2170</v>
      </c>
      <c r="D21" s="261"/>
      <c r="E21" s="260"/>
      <c r="F21" s="262" t="s">
        <v>398</v>
      </c>
      <c r="G21" s="200" t="s">
        <v>397</v>
      </c>
      <c r="H21" s="201">
        <v>0.7</v>
      </c>
      <c r="I21" s="195"/>
      <c r="J21" s="196"/>
      <c r="K21" s="197"/>
      <c r="L21" s="185"/>
      <c r="M21" s="187"/>
      <c r="N21" s="209"/>
      <c r="O21" s="198">
        <v>350</v>
      </c>
      <c r="P21" s="199"/>
      <c r="V21" s="184" t="s">
        <v>2364</v>
      </c>
    </row>
    <row r="22" spans="1:22" ht="16.5" customHeight="1" x14ac:dyDescent="0.2">
      <c r="A22" s="193">
        <v>16</v>
      </c>
      <c r="B22" s="184">
        <v>4444</v>
      </c>
      <c r="C22" s="210" t="s">
        <v>2171</v>
      </c>
      <c r="D22" s="203">
        <v>333</v>
      </c>
      <c r="E22" s="186" t="s">
        <v>394</v>
      </c>
      <c r="F22" s="263"/>
      <c r="G22" s="189"/>
      <c r="H22" s="190"/>
      <c r="I22" s="195" t="s">
        <v>396</v>
      </c>
      <c r="J22" s="196" t="s">
        <v>397</v>
      </c>
      <c r="K22" s="197">
        <v>1</v>
      </c>
      <c r="L22" s="185"/>
      <c r="M22" s="187"/>
      <c r="N22" s="209"/>
      <c r="O22" s="198">
        <v>350</v>
      </c>
      <c r="P22" s="199"/>
      <c r="V22" s="184" t="s">
        <v>2365</v>
      </c>
    </row>
    <row r="23" spans="1:22" ht="16.5" customHeight="1" x14ac:dyDescent="0.2">
      <c r="A23" s="193">
        <v>16</v>
      </c>
      <c r="B23" s="184">
        <v>4445</v>
      </c>
      <c r="C23" s="210" t="s">
        <v>2172</v>
      </c>
      <c r="D23" s="264" t="s">
        <v>1961</v>
      </c>
      <c r="E23" s="265"/>
      <c r="F23" s="202"/>
      <c r="G23" s="200"/>
      <c r="H23" s="201"/>
      <c r="I23" s="195"/>
      <c r="J23" s="196"/>
      <c r="K23" s="197"/>
      <c r="L23" s="185"/>
      <c r="M23" s="187"/>
      <c r="N23" s="209"/>
      <c r="O23" s="198">
        <v>624</v>
      </c>
      <c r="P23" s="199"/>
      <c r="V23" s="184" t="s">
        <v>2366</v>
      </c>
    </row>
    <row r="24" spans="1:22" ht="16.5" customHeight="1" x14ac:dyDescent="0.2">
      <c r="A24" s="193">
        <v>16</v>
      </c>
      <c r="B24" s="184">
        <v>4446</v>
      </c>
      <c r="C24" s="210" t="s">
        <v>2173</v>
      </c>
      <c r="D24" s="261"/>
      <c r="E24" s="260"/>
      <c r="F24" s="194"/>
      <c r="G24" s="189"/>
      <c r="H24" s="190"/>
      <c r="I24" s="195" t="s">
        <v>396</v>
      </c>
      <c r="J24" s="196" t="s">
        <v>397</v>
      </c>
      <c r="K24" s="197">
        <v>1</v>
      </c>
      <c r="L24" s="185"/>
      <c r="M24" s="187"/>
      <c r="N24" s="209"/>
      <c r="O24" s="198">
        <v>624</v>
      </c>
      <c r="P24" s="199"/>
      <c r="V24" s="184" t="s">
        <v>2367</v>
      </c>
    </row>
    <row r="25" spans="1:22" ht="16.5" customHeight="1" x14ac:dyDescent="0.2">
      <c r="A25" s="193">
        <v>16</v>
      </c>
      <c r="B25" s="184">
        <v>4447</v>
      </c>
      <c r="C25" s="210" t="s">
        <v>2174</v>
      </c>
      <c r="D25" s="261"/>
      <c r="E25" s="260"/>
      <c r="F25" s="262" t="s">
        <v>398</v>
      </c>
      <c r="G25" s="200" t="s">
        <v>397</v>
      </c>
      <c r="H25" s="201">
        <v>0.7</v>
      </c>
      <c r="I25" s="195"/>
      <c r="J25" s="196"/>
      <c r="K25" s="197"/>
      <c r="L25" s="185"/>
      <c r="M25" s="187"/>
      <c r="N25" s="209"/>
      <c r="O25" s="198">
        <v>437</v>
      </c>
      <c r="P25" s="199"/>
      <c r="V25" s="184" t="s">
        <v>2368</v>
      </c>
    </row>
    <row r="26" spans="1:22" ht="16.5" customHeight="1" x14ac:dyDescent="0.2">
      <c r="A26" s="193">
        <v>16</v>
      </c>
      <c r="B26" s="184">
        <v>4448</v>
      </c>
      <c r="C26" s="210" t="s">
        <v>2175</v>
      </c>
      <c r="D26" s="203">
        <v>416</v>
      </c>
      <c r="E26" s="186" t="s">
        <v>394</v>
      </c>
      <c r="F26" s="263"/>
      <c r="G26" s="189"/>
      <c r="H26" s="190"/>
      <c r="I26" s="195" t="s">
        <v>396</v>
      </c>
      <c r="J26" s="196" t="s">
        <v>397</v>
      </c>
      <c r="K26" s="197">
        <v>1</v>
      </c>
      <c r="L26" s="185"/>
      <c r="M26" s="187"/>
      <c r="N26" s="209"/>
      <c r="O26" s="198">
        <v>437</v>
      </c>
      <c r="P26" s="199"/>
      <c r="V26" s="184" t="s">
        <v>2369</v>
      </c>
    </row>
    <row r="27" spans="1:22" ht="16.5" customHeight="1" x14ac:dyDescent="0.2">
      <c r="A27" s="193">
        <v>16</v>
      </c>
      <c r="B27" s="184">
        <v>4449</v>
      </c>
      <c r="C27" s="210" t="s">
        <v>2176</v>
      </c>
      <c r="D27" s="264" t="s">
        <v>1962</v>
      </c>
      <c r="E27" s="265"/>
      <c r="F27" s="202"/>
      <c r="G27" s="200"/>
      <c r="H27" s="201"/>
      <c r="I27" s="195"/>
      <c r="J27" s="196"/>
      <c r="K27" s="197"/>
      <c r="L27" s="185"/>
      <c r="M27" s="187"/>
      <c r="N27" s="209"/>
      <c r="O27" s="198">
        <v>749</v>
      </c>
      <c r="P27" s="199"/>
      <c r="V27" s="184" t="s">
        <v>2370</v>
      </c>
    </row>
    <row r="28" spans="1:22" ht="16.5" customHeight="1" x14ac:dyDescent="0.2">
      <c r="A28" s="193">
        <v>16</v>
      </c>
      <c r="B28" s="184">
        <v>4450</v>
      </c>
      <c r="C28" s="210" t="s">
        <v>2177</v>
      </c>
      <c r="D28" s="261"/>
      <c r="E28" s="260"/>
      <c r="F28" s="194"/>
      <c r="G28" s="189"/>
      <c r="H28" s="190"/>
      <c r="I28" s="195" t="s">
        <v>396</v>
      </c>
      <c r="J28" s="196" t="s">
        <v>397</v>
      </c>
      <c r="K28" s="197">
        <v>1</v>
      </c>
      <c r="L28" s="185"/>
      <c r="M28" s="187"/>
      <c r="N28" s="209"/>
      <c r="O28" s="198">
        <v>749</v>
      </c>
      <c r="P28" s="199"/>
      <c r="V28" s="184" t="s">
        <v>2371</v>
      </c>
    </row>
    <row r="29" spans="1:22" ht="16.5" customHeight="1" x14ac:dyDescent="0.2">
      <c r="A29" s="193">
        <v>16</v>
      </c>
      <c r="B29" s="184">
        <v>4451</v>
      </c>
      <c r="C29" s="210" t="s">
        <v>2178</v>
      </c>
      <c r="D29" s="261"/>
      <c r="E29" s="260"/>
      <c r="F29" s="262" t="s">
        <v>398</v>
      </c>
      <c r="G29" s="200" t="s">
        <v>397</v>
      </c>
      <c r="H29" s="201">
        <v>0.7</v>
      </c>
      <c r="I29" s="195"/>
      <c r="J29" s="196"/>
      <c r="K29" s="197"/>
      <c r="L29" s="185"/>
      <c r="M29" s="187"/>
      <c r="N29" s="209"/>
      <c r="O29" s="198">
        <v>524</v>
      </c>
      <c r="P29" s="199"/>
      <c r="V29" s="184" t="s">
        <v>2372</v>
      </c>
    </row>
    <row r="30" spans="1:22" ht="16.5" customHeight="1" x14ac:dyDescent="0.2">
      <c r="A30" s="193">
        <v>16</v>
      </c>
      <c r="B30" s="184">
        <v>4452</v>
      </c>
      <c r="C30" s="210" t="s">
        <v>2179</v>
      </c>
      <c r="D30" s="203">
        <v>499</v>
      </c>
      <c r="E30" s="186" t="s">
        <v>394</v>
      </c>
      <c r="F30" s="263"/>
      <c r="G30" s="189"/>
      <c r="H30" s="190"/>
      <c r="I30" s="195" t="s">
        <v>396</v>
      </c>
      <c r="J30" s="196" t="s">
        <v>397</v>
      </c>
      <c r="K30" s="197">
        <v>1</v>
      </c>
      <c r="L30" s="185"/>
      <c r="M30" s="187"/>
      <c r="N30" s="209"/>
      <c r="O30" s="198">
        <v>524</v>
      </c>
      <c r="P30" s="199"/>
      <c r="V30" s="184" t="s">
        <v>2373</v>
      </c>
    </row>
    <row r="31" spans="1:22" ht="16.5" customHeight="1" x14ac:dyDescent="0.2">
      <c r="A31" s="193">
        <v>16</v>
      </c>
      <c r="B31" s="184">
        <v>4453</v>
      </c>
      <c r="C31" s="210" t="s">
        <v>2180</v>
      </c>
      <c r="D31" s="264" t="s">
        <v>1963</v>
      </c>
      <c r="E31" s="265"/>
      <c r="F31" s="202"/>
      <c r="G31" s="200"/>
      <c r="H31" s="201"/>
      <c r="I31" s="195"/>
      <c r="J31" s="196"/>
      <c r="K31" s="197"/>
      <c r="L31" s="185"/>
      <c r="M31" s="187"/>
      <c r="N31" s="209"/>
      <c r="O31" s="198">
        <v>873</v>
      </c>
      <c r="P31" s="199"/>
      <c r="V31" s="184" t="s">
        <v>2374</v>
      </c>
    </row>
    <row r="32" spans="1:22" ht="16.5" customHeight="1" x14ac:dyDescent="0.2">
      <c r="A32" s="193">
        <v>16</v>
      </c>
      <c r="B32" s="184">
        <v>4454</v>
      </c>
      <c r="C32" s="210" t="s">
        <v>2181</v>
      </c>
      <c r="D32" s="261"/>
      <c r="E32" s="260"/>
      <c r="F32" s="194"/>
      <c r="G32" s="189"/>
      <c r="H32" s="190"/>
      <c r="I32" s="195" t="s">
        <v>396</v>
      </c>
      <c r="J32" s="196" t="s">
        <v>397</v>
      </c>
      <c r="K32" s="197">
        <v>1</v>
      </c>
      <c r="L32" s="185"/>
      <c r="M32" s="187"/>
      <c r="N32" s="209"/>
      <c r="O32" s="198">
        <v>873</v>
      </c>
      <c r="P32" s="199"/>
      <c r="V32" s="184" t="s">
        <v>2375</v>
      </c>
    </row>
    <row r="33" spans="1:22" ht="16.5" customHeight="1" x14ac:dyDescent="0.2">
      <c r="A33" s="193">
        <v>16</v>
      </c>
      <c r="B33" s="184">
        <v>4455</v>
      </c>
      <c r="C33" s="210" t="s">
        <v>2182</v>
      </c>
      <c r="D33" s="261"/>
      <c r="E33" s="260"/>
      <c r="F33" s="262" t="s">
        <v>398</v>
      </c>
      <c r="G33" s="200" t="s">
        <v>397</v>
      </c>
      <c r="H33" s="201">
        <v>0.7</v>
      </c>
      <c r="I33" s="195"/>
      <c r="J33" s="196"/>
      <c r="K33" s="197"/>
      <c r="L33" s="185"/>
      <c r="M33" s="187"/>
      <c r="N33" s="209"/>
      <c r="O33" s="198">
        <v>611</v>
      </c>
      <c r="P33" s="199"/>
      <c r="V33" s="184" t="s">
        <v>2376</v>
      </c>
    </row>
    <row r="34" spans="1:22" ht="16.5" customHeight="1" x14ac:dyDescent="0.2">
      <c r="A34" s="193">
        <v>16</v>
      </c>
      <c r="B34" s="184">
        <v>4456</v>
      </c>
      <c r="C34" s="210" t="s">
        <v>2183</v>
      </c>
      <c r="D34" s="203">
        <v>582</v>
      </c>
      <c r="E34" s="186" t="s">
        <v>394</v>
      </c>
      <c r="F34" s="263"/>
      <c r="G34" s="189"/>
      <c r="H34" s="190"/>
      <c r="I34" s="195" t="s">
        <v>396</v>
      </c>
      <c r="J34" s="196" t="s">
        <v>397</v>
      </c>
      <c r="K34" s="197">
        <v>1</v>
      </c>
      <c r="L34" s="185"/>
      <c r="M34" s="187"/>
      <c r="N34" s="209"/>
      <c r="O34" s="198">
        <v>611</v>
      </c>
      <c r="P34" s="199"/>
      <c r="V34" s="184" t="s">
        <v>2377</v>
      </c>
    </row>
    <row r="35" spans="1:22" ht="16.5" customHeight="1" x14ac:dyDescent="0.2">
      <c r="A35" s="193">
        <v>16</v>
      </c>
      <c r="B35" s="184">
        <v>4457</v>
      </c>
      <c r="C35" s="210" t="s">
        <v>2184</v>
      </c>
      <c r="D35" s="264" t="s">
        <v>1964</v>
      </c>
      <c r="E35" s="265"/>
      <c r="F35" s="202"/>
      <c r="G35" s="200"/>
      <c r="H35" s="201"/>
      <c r="I35" s="195"/>
      <c r="J35" s="196"/>
      <c r="K35" s="197"/>
      <c r="L35" s="185"/>
      <c r="M35" s="187"/>
      <c r="N35" s="209"/>
      <c r="O35" s="198">
        <v>998</v>
      </c>
      <c r="P35" s="199"/>
      <c r="V35" s="184" t="s">
        <v>2378</v>
      </c>
    </row>
    <row r="36" spans="1:22" ht="16.5" customHeight="1" x14ac:dyDescent="0.2">
      <c r="A36" s="193">
        <v>16</v>
      </c>
      <c r="B36" s="184">
        <v>4458</v>
      </c>
      <c r="C36" s="210" t="s">
        <v>2185</v>
      </c>
      <c r="D36" s="261"/>
      <c r="E36" s="260"/>
      <c r="F36" s="194"/>
      <c r="G36" s="189"/>
      <c r="H36" s="190"/>
      <c r="I36" s="195" t="s">
        <v>396</v>
      </c>
      <c r="J36" s="196" t="s">
        <v>397</v>
      </c>
      <c r="K36" s="197">
        <v>1</v>
      </c>
      <c r="L36" s="185"/>
      <c r="M36" s="187"/>
      <c r="N36" s="209"/>
      <c r="O36" s="198">
        <v>998</v>
      </c>
      <c r="P36" s="199"/>
      <c r="V36" s="184" t="s">
        <v>2379</v>
      </c>
    </row>
    <row r="37" spans="1:22" ht="16.5" customHeight="1" x14ac:dyDescent="0.2">
      <c r="A37" s="193">
        <v>16</v>
      </c>
      <c r="B37" s="184">
        <v>4459</v>
      </c>
      <c r="C37" s="210" t="s">
        <v>2186</v>
      </c>
      <c r="D37" s="261"/>
      <c r="E37" s="260"/>
      <c r="F37" s="262" t="s">
        <v>398</v>
      </c>
      <c r="G37" s="200" t="s">
        <v>397</v>
      </c>
      <c r="H37" s="201">
        <v>0.7</v>
      </c>
      <c r="I37" s="195"/>
      <c r="J37" s="196"/>
      <c r="K37" s="197"/>
      <c r="L37" s="185"/>
      <c r="M37" s="187"/>
      <c r="N37" s="209"/>
      <c r="O37" s="198">
        <v>699</v>
      </c>
      <c r="P37" s="199"/>
      <c r="V37" s="184" t="s">
        <v>2380</v>
      </c>
    </row>
    <row r="38" spans="1:22" ht="16.5" customHeight="1" x14ac:dyDescent="0.2">
      <c r="A38" s="193">
        <v>16</v>
      </c>
      <c r="B38" s="184">
        <v>4460</v>
      </c>
      <c r="C38" s="210" t="s">
        <v>2187</v>
      </c>
      <c r="D38" s="203">
        <v>665</v>
      </c>
      <c r="E38" s="186" t="s">
        <v>394</v>
      </c>
      <c r="F38" s="263"/>
      <c r="G38" s="189"/>
      <c r="H38" s="190"/>
      <c r="I38" s="195" t="s">
        <v>396</v>
      </c>
      <c r="J38" s="196" t="s">
        <v>397</v>
      </c>
      <c r="K38" s="197">
        <v>1</v>
      </c>
      <c r="L38" s="185"/>
      <c r="M38" s="187"/>
      <c r="N38" s="209"/>
      <c r="O38" s="198">
        <v>699</v>
      </c>
      <c r="P38" s="199"/>
      <c r="V38" s="184" t="s">
        <v>2381</v>
      </c>
    </row>
    <row r="39" spans="1:22" ht="16.5" customHeight="1" x14ac:dyDescent="0.2">
      <c r="A39" s="193">
        <v>16</v>
      </c>
      <c r="B39" s="184">
        <v>4461</v>
      </c>
      <c r="C39" s="210" t="s">
        <v>2188</v>
      </c>
      <c r="D39" s="264" t="s">
        <v>1965</v>
      </c>
      <c r="E39" s="265"/>
      <c r="F39" s="202"/>
      <c r="G39" s="200"/>
      <c r="H39" s="201"/>
      <c r="I39" s="195"/>
      <c r="J39" s="196"/>
      <c r="K39" s="197"/>
      <c r="L39" s="185"/>
      <c r="M39" s="187"/>
      <c r="N39" s="209"/>
      <c r="O39" s="198">
        <v>1122</v>
      </c>
      <c r="P39" s="199"/>
      <c r="V39" s="184" t="s">
        <v>2382</v>
      </c>
    </row>
    <row r="40" spans="1:22" ht="16.5" customHeight="1" x14ac:dyDescent="0.2">
      <c r="A40" s="193">
        <v>16</v>
      </c>
      <c r="B40" s="184">
        <v>4462</v>
      </c>
      <c r="C40" s="210" t="s">
        <v>2189</v>
      </c>
      <c r="D40" s="261"/>
      <c r="E40" s="260"/>
      <c r="F40" s="194"/>
      <c r="G40" s="189"/>
      <c r="H40" s="190"/>
      <c r="I40" s="195" t="s">
        <v>396</v>
      </c>
      <c r="J40" s="196" t="s">
        <v>397</v>
      </c>
      <c r="K40" s="197">
        <v>1</v>
      </c>
      <c r="L40" s="185"/>
      <c r="M40" s="187"/>
      <c r="N40" s="209"/>
      <c r="O40" s="198">
        <v>1122</v>
      </c>
      <c r="P40" s="199"/>
      <c r="V40" s="184" t="s">
        <v>2383</v>
      </c>
    </row>
    <row r="41" spans="1:22" ht="16.5" customHeight="1" x14ac:dyDescent="0.2">
      <c r="A41" s="193">
        <v>16</v>
      </c>
      <c r="B41" s="184">
        <v>4463</v>
      </c>
      <c r="C41" s="210" t="s">
        <v>2190</v>
      </c>
      <c r="D41" s="261"/>
      <c r="E41" s="260"/>
      <c r="F41" s="262" t="s">
        <v>398</v>
      </c>
      <c r="G41" s="200" t="s">
        <v>397</v>
      </c>
      <c r="H41" s="201">
        <v>0.7</v>
      </c>
      <c r="I41" s="195"/>
      <c r="J41" s="196"/>
      <c r="K41" s="197"/>
      <c r="L41" s="185"/>
      <c r="M41" s="187"/>
      <c r="N41" s="209"/>
      <c r="O41" s="198">
        <v>786</v>
      </c>
      <c r="P41" s="199"/>
      <c r="V41" s="184" t="s">
        <v>2384</v>
      </c>
    </row>
    <row r="42" spans="1:22" ht="16.5" customHeight="1" x14ac:dyDescent="0.2">
      <c r="A42" s="193">
        <v>16</v>
      </c>
      <c r="B42" s="184">
        <v>4464</v>
      </c>
      <c r="C42" s="210" t="s">
        <v>2191</v>
      </c>
      <c r="D42" s="204">
        <v>748</v>
      </c>
      <c r="E42" s="189" t="s">
        <v>394</v>
      </c>
      <c r="F42" s="263"/>
      <c r="G42" s="189"/>
      <c r="H42" s="190"/>
      <c r="I42" s="195" t="s">
        <v>396</v>
      </c>
      <c r="J42" s="196" t="s">
        <v>397</v>
      </c>
      <c r="K42" s="197">
        <v>1</v>
      </c>
      <c r="L42" s="185"/>
      <c r="M42" s="187"/>
      <c r="N42" s="209"/>
      <c r="O42" s="198">
        <v>786</v>
      </c>
      <c r="P42" s="199"/>
      <c r="V42" s="184" t="s">
        <v>2385</v>
      </c>
    </row>
    <row r="43" spans="1:22" ht="16.5" customHeight="1" x14ac:dyDescent="0.2">
      <c r="A43" s="184">
        <v>16</v>
      </c>
      <c r="B43" s="184">
        <v>4465</v>
      </c>
      <c r="C43" s="207" t="s">
        <v>2192</v>
      </c>
      <c r="D43" s="259" t="s">
        <v>1966</v>
      </c>
      <c r="E43" s="260"/>
      <c r="F43" s="185"/>
      <c r="G43" s="186"/>
      <c r="H43" s="187"/>
      <c r="I43" s="188"/>
      <c r="J43" s="189"/>
      <c r="K43" s="190"/>
      <c r="L43" s="208"/>
      <c r="M43" s="187"/>
      <c r="N43" s="209"/>
      <c r="O43" s="191">
        <v>1247</v>
      </c>
      <c r="P43" s="192"/>
      <c r="V43" s="184" t="s">
        <v>2386</v>
      </c>
    </row>
    <row r="44" spans="1:22" ht="16.5" customHeight="1" x14ac:dyDescent="0.2">
      <c r="A44" s="193">
        <v>16</v>
      </c>
      <c r="B44" s="184">
        <v>4466</v>
      </c>
      <c r="C44" s="210" t="s">
        <v>2193</v>
      </c>
      <c r="D44" s="261"/>
      <c r="E44" s="260"/>
      <c r="F44" s="194"/>
      <c r="G44" s="189"/>
      <c r="H44" s="190"/>
      <c r="I44" s="195" t="s">
        <v>396</v>
      </c>
      <c r="J44" s="196" t="s">
        <v>397</v>
      </c>
      <c r="K44" s="197">
        <v>1</v>
      </c>
      <c r="L44" s="185"/>
      <c r="M44" s="187"/>
      <c r="N44" s="266"/>
      <c r="O44" s="198">
        <v>1247</v>
      </c>
      <c r="P44" s="199"/>
      <c r="V44" s="184" t="s">
        <v>2387</v>
      </c>
    </row>
    <row r="45" spans="1:22" ht="16.5" customHeight="1" x14ac:dyDescent="0.2">
      <c r="A45" s="193">
        <v>16</v>
      </c>
      <c r="B45" s="184">
        <v>4467</v>
      </c>
      <c r="C45" s="210" t="s">
        <v>2194</v>
      </c>
      <c r="D45" s="261"/>
      <c r="E45" s="260"/>
      <c r="F45" s="262" t="s">
        <v>398</v>
      </c>
      <c r="G45" s="200" t="s">
        <v>397</v>
      </c>
      <c r="H45" s="201">
        <v>0.7</v>
      </c>
      <c r="I45" s="195"/>
      <c r="J45" s="196"/>
      <c r="K45" s="197"/>
      <c r="L45" s="185"/>
      <c r="M45" s="187"/>
      <c r="N45" s="267"/>
      <c r="O45" s="198">
        <v>873</v>
      </c>
      <c r="P45" s="199"/>
      <c r="V45" s="184" t="s">
        <v>2388</v>
      </c>
    </row>
    <row r="46" spans="1:22" ht="16.5" customHeight="1" x14ac:dyDescent="0.2">
      <c r="A46" s="193">
        <v>16</v>
      </c>
      <c r="B46" s="184">
        <v>4468</v>
      </c>
      <c r="C46" s="210" t="s">
        <v>2195</v>
      </c>
      <c r="D46" s="203">
        <v>831</v>
      </c>
      <c r="E46" s="186" t="s">
        <v>394</v>
      </c>
      <c r="F46" s="263"/>
      <c r="G46" s="189"/>
      <c r="H46" s="190"/>
      <c r="I46" s="195" t="s">
        <v>396</v>
      </c>
      <c r="J46" s="196" t="s">
        <v>397</v>
      </c>
      <c r="K46" s="197">
        <v>1</v>
      </c>
      <c r="L46" s="185"/>
      <c r="M46" s="187"/>
      <c r="N46" s="209"/>
      <c r="O46" s="198">
        <v>873</v>
      </c>
      <c r="P46" s="199"/>
      <c r="V46" s="184" t="s">
        <v>2389</v>
      </c>
    </row>
    <row r="47" spans="1:22" ht="16.5" customHeight="1" x14ac:dyDescent="0.2">
      <c r="A47" s="193">
        <v>16</v>
      </c>
      <c r="B47" s="184">
        <v>4469</v>
      </c>
      <c r="C47" s="210" t="s">
        <v>2196</v>
      </c>
      <c r="D47" s="264" t="s">
        <v>1967</v>
      </c>
      <c r="E47" s="265"/>
      <c r="F47" s="202"/>
      <c r="G47" s="200"/>
      <c r="H47" s="201"/>
      <c r="I47" s="195"/>
      <c r="J47" s="196"/>
      <c r="K47" s="197"/>
      <c r="L47" s="185"/>
      <c r="M47" s="187"/>
      <c r="N47" s="209"/>
      <c r="O47" s="198">
        <v>1371</v>
      </c>
      <c r="P47" s="199"/>
      <c r="V47" s="184" t="s">
        <v>2390</v>
      </c>
    </row>
    <row r="48" spans="1:22" ht="16.5" customHeight="1" x14ac:dyDescent="0.2">
      <c r="A48" s="193">
        <v>16</v>
      </c>
      <c r="B48" s="184">
        <v>4470</v>
      </c>
      <c r="C48" s="210" t="s">
        <v>2197</v>
      </c>
      <c r="D48" s="261"/>
      <c r="E48" s="260"/>
      <c r="F48" s="194"/>
      <c r="G48" s="189"/>
      <c r="H48" s="190"/>
      <c r="I48" s="195" t="s">
        <v>396</v>
      </c>
      <c r="J48" s="196" t="s">
        <v>397</v>
      </c>
      <c r="K48" s="197">
        <v>1</v>
      </c>
      <c r="L48" s="185"/>
      <c r="M48" s="187"/>
      <c r="N48" s="209"/>
      <c r="O48" s="198">
        <v>1371</v>
      </c>
      <c r="P48" s="199"/>
      <c r="V48" s="184" t="s">
        <v>2391</v>
      </c>
    </row>
    <row r="49" spans="1:22" ht="16.5" customHeight="1" x14ac:dyDescent="0.2">
      <c r="A49" s="193">
        <v>16</v>
      </c>
      <c r="B49" s="184">
        <v>4471</v>
      </c>
      <c r="C49" s="210" t="s">
        <v>2198</v>
      </c>
      <c r="D49" s="261"/>
      <c r="E49" s="260"/>
      <c r="F49" s="262" t="s">
        <v>398</v>
      </c>
      <c r="G49" s="200" t="s">
        <v>397</v>
      </c>
      <c r="H49" s="201">
        <v>0.7</v>
      </c>
      <c r="I49" s="195"/>
      <c r="J49" s="196"/>
      <c r="K49" s="197"/>
      <c r="L49" s="185"/>
      <c r="M49" s="187"/>
      <c r="N49" s="209"/>
      <c r="O49" s="198">
        <v>960</v>
      </c>
      <c r="P49" s="199"/>
      <c r="V49" s="184" t="s">
        <v>2392</v>
      </c>
    </row>
    <row r="50" spans="1:22" ht="16.5" customHeight="1" x14ac:dyDescent="0.2">
      <c r="A50" s="193">
        <v>16</v>
      </c>
      <c r="B50" s="184">
        <v>4472</v>
      </c>
      <c r="C50" s="210" t="s">
        <v>2199</v>
      </c>
      <c r="D50" s="203">
        <v>914</v>
      </c>
      <c r="E50" s="186" t="s">
        <v>394</v>
      </c>
      <c r="F50" s="263"/>
      <c r="G50" s="189"/>
      <c r="H50" s="190"/>
      <c r="I50" s="195" t="s">
        <v>396</v>
      </c>
      <c r="J50" s="196" t="s">
        <v>397</v>
      </c>
      <c r="K50" s="197">
        <v>1</v>
      </c>
      <c r="L50" s="185"/>
      <c r="M50" s="187"/>
      <c r="N50" s="209"/>
      <c r="O50" s="198">
        <v>960</v>
      </c>
      <c r="P50" s="199"/>
      <c r="V50" s="184" t="s">
        <v>2393</v>
      </c>
    </row>
    <row r="51" spans="1:22" ht="16.5" customHeight="1" x14ac:dyDescent="0.2">
      <c r="A51" s="193">
        <v>16</v>
      </c>
      <c r="B51" s="184">
        <v>4473</v>
      </c>
      <c r="C51" s="210" t="s">
        <v>2200</v>
      </c>
      <c r="D51" s="268" t="s">
        <v>1968</v>
      </c>
      <c r="E51" s="269"/>
      <c r="F51" s="202"/>
      <c r="G51" s="200"/>
      <c r="H51" s="201"/>
      <c r="I51" s="195"/>
      <c r="J51" s="196"/>
      <c r="K51" s="197"/>
      <c r="L51" s="185"/>
      <c r="M51" s="187"/>
      <c r="N51" s="209"/>
      <c r="O51" s="198">
        <v>1496</v>
      </c>
      <c r="P51" s="199"/>
      <c r="V51" s="184" t="s">
        <v>2394</v>
      </c>
    </row>
    <row r="52" spans="1:22" ht="16.5" customHeight="1" x14ac:dyDescent="0.2">
      <c r="A52" s="193">
        <v>16</v>
      </c>
      <c r="B52" s="184">
        <v>4474</v>
      </c>
      <c r="C52" s="210" t="s">
        <v>2201</v>
      </c>
      <c r="D52" s="270"/>
      <c r="E52" s="271"/>
      <c r="F52" s="194"/>
      <c r="G52" s="189"/>
      <c r="H52" s="190"/>
      <c r="I52" s="195" t="s">
        <v>396</v>
      </c>
      <c r="J52" s="196" t="s">
        <v>397</v>
      </c>
      <c r="K52" s="197">
        <v>1</v>
      </c>
      <c r="L52" s="185"/>
      <c r="M52" s="187"/>
      <c r="N52" s="209"/>
      <c r="O52" s="198">
        <v>1496</v>
      </c>
      <c r="P52" s="199"/>
      <c r="V52" s="184" t="s">
        <v>2395</v>
      </c>
    </row>
    <row r="53" spans="1:22" ht="16.5" customHeight="1" x14ac:dyDescent="0.2">
      <c r="A53" s="193">
        <v>16</v>
      </c>
      <c r="B53" s="184">
        <v>4475</v>
      </c>
      <c r="C53" s="210" t="s">
        <v>2202</v>
      </c>
      <c r="D53" s="270"/>
      <c r="E53" s="271"/>
      <c r="F53" s="262" t="s">
        <v>398</v>
      </c>
      <c r="G53" s="200" t="s">
        <v>397</v>
      </c>
      <c r="H53" s="201">
        <v>0.7</v>
      </c>
      <c r="I53" s="195"/>
      <c r="J53" s="196"/>
      <c r="K53" s="197"/>
      <c r="L53" s="185"/>
      <c r="M53" s="187"/>
      <c r="N53" s="209"/>
      <c r="O53" s="198">
        <v>1047</v>
      </c>
      <c r="P53" s="199"/>
      <c r="V53" s="184" t="s">
        <v>2396</v>
      </c>
    </row>
    <row r="54" spans="1:22" ht="16.5" customHeight="1" x14ac:dyDescent="0.2">
      <c r="A54" s="193">
        <v>16</v>
      </c>
      <c r="B54" s="184">
        <v>4476</v>
      </c>
      <c r="C54" s="210" t="s">
        <v>2203</v>
      </c>
      <c r="D54" s="203">
        <v>997</v>
      </c>
      <c r="E54" s="186" t="s">
        <v>394</v>
      </c>
      <c r="F54" s="263"/>
      <c r="G54" s="189"/>
      <c r="H54" s="190"/>
      <c r="I54" s="195" t="s">
        <v>396</v>
      </c>
      <c r="J54" s="196" t="s">
        <v>397</v>
      </c>
      <c r="K54" s="197">
        <v>1</v>
      </c>
      <c r="L54" s="185"/>
      <c r="M54" s="187"/>
      <c r="N54" s="209"/>
      <c r="O54" s="198">
        <v>1047</v>
      </c>
      <c r="P54" s="199"/>
      <c r="V54" s="184" t="s">
        <v>2397</v>
      </c>
    </row>
    <row r="55" spans="1:22" ht="16.5" customHeight="1" x14ac:dyDescent="0.2">
      <c r="A55" s="193">
        <v>16</v>
      </c>
      <c r="B55" s="184">
        <v>4477</v>
      </c>
      <c r="C55" s="210" t="s">
        <v>2204</v>
      </c>
      <c r="D55" s="264" t="s">
        <v>1969</v>
      </c>
      <c r="E55" s="265"/>
      <c r="F55" s="202"/>
      <c r="G55" s="200"/>
      <c r="H55" s="201"/>
      <c r="I55" s="195"/>
      <c r="J55" s="196"/>
      <c r="K55" s="197"/>
      <c r="L55" s="185"/>
      <c r="M55" s="187"/>
      <c r="N55" s="209"/>
      <c r="O55" s="198">
        <v>1620</v>
      </c>
      <c r="P55" s="199"/>
      <c r="V55" s="184" t="s">
        <v>2398</v>
      </c>
    </row>
    <row r="56" spans="1:22" ht="16.5" customHeight="1" x14ac:dyDescent="0.2">
      <c r="A56" s="193">
        <v>16</v>
      </c>
      <c r="B56" s="184">
        <v>4478</v>
      </c>
      <c r="C56" s="210" t="s">
        <v>2205</v>
      </c>
      <c r="D56" s="261"/>
      <c r="E56" s="260"/>
      <c r="F56" s="194"/>
      <c r="G56" s="189"/>
      <c r="H56" s="190"/>
      <c r="I56" s="195" t="s">
        <v>396</v>
      </c>
      <c r="J56" s="196" t="s">
        <v>397</v>
      </c>
      <c r="K56" s="197">
        <v>1</v>
      </c>
      <c r="L56" s="185"/>
      <c r="M56" s="187"/>
      <c r="N56" s="209"/>
      <c r="O56" s="198">
        <v>1620</v>
      </c>
      <c r="P56" s="199"/>
      <c r="V56" s="184" t="s">
        <v>2399</v>
      </c>
    </row>
    <row r="57" spans="1:22" ht="16.5" customHeight="1" x14ac:dyDescent="0.2">
      <c r="A57" s="193">
        <v>16</v>
      </c>
      <c r="B57" s="184">
        <v>4479</v>
      </c>
      <c r="C57" s="210" t="s">
        <v>2206</v>
      </c>
      <c r="D57" s="261"/>
      <c r="E57" s="260"/>
      <c r="F57" s="262" t="s">
        <v>398</v>
      </c>
      <c r="G57" s="200" t="s">
        <v>397</v>
      </c>
      <c r="H57" s="201">
        <v>0.7</v>
      </c>
      <c r="I57" s="195"/>
      <c r="J57" s="196"/>
      <c r="K57" s="197"/>
      <c r="L57" s="185"/>
      <c r="M57" s="187"/>
      <c r="N57" s="209"/>
      <c r="O57" s="198">
        <v>1134</v>
      </c>
      <c r="P57" s="199"/>
      <c r="V57" s="184" t="s">
        <v>2400</v>
      </c>
    </row>
    <row r="58" spans="1:22" ht="16.5" customHeight="1" x14ac:dyDescent="0.2">
      <c r="A58" s="193">
        <v>16</v>
      </c>
      <c r="B58" s="184">
        <v>4480</v>
      </c>
      <c r="C58" s="210" t="s">
        <v>2207</v>
      </c>
      <c r="D58" s="204">
        <v>1080</v>
      </c>
      <c r="E58" s="189" t="s">
        <v>394</v>
      </c>
      <c r="F58" s="263"/>
      <c r="G58" s="189"/>
      <c r="H58" s="190"/>
      <c r="I58" s="195" t="s">
        <v>396</v>
      </c>
      <c r="J58" s="196" t="s">
        <v>397</v>
      </c>
      <c r="K58" s="197">
        <v>1</v>
      </c>
      <c r="L58" s="194"/>
      <c r="M58" s="190"/>
      <c r="N58" s="211"/>
      <c r="O58" s="198">
        <v>1134</v>
      </c>
      <c r="P58" s="205"/>
      <c r="V58" s="184" t="s">
        <v>2401</v>
      </c>
    </row>
    <row r="59" spans="1:22" ht="16.5" customHeight="1" x14ac:dyDescent="0.2"/>
    <row r="60" spans="1:22" ht="16.5" customHeight="1" x14ac:dyDescent="0.2"/>
  </sheetData>
  <mergeCells count="28">
    <mergeCell ref="D55:E57"/>
    <mergeCell ref="F57:F58"/>
    <mergeCell ref="D43:E45"/>
    <mergeCell ref="N44:N45"/>
    <mergeCell ref="F45:F46"/>
    <mergeCell ref="D47:E49"/>
    <mergeCell ref="F49:F50"/>
    <mergeCell ref="D51:E53"/>
    <mergeCell ref="F53:F54"/>
    <mergeCell ref="D31:E33"/>
    <mergeCell ref="F33:F34"/>
    <mergeCell ref="D35:E37"/>
    <mergeCell ref="F37:F38"/>
    <mergeCell ref="D39:E41"/>
    <mergeCell ref="F41:F42"/>
    <mergeCell ref="D19:E21"/>
    <mergeCell ref="F21:F22"/>
    <mergeCell ref="D23:E25"/>
    <mergeCell ref="F25:F26"/>
    <mergeCell ref="D27:E29"/>
    <mergeCell ref="F29:F30"/>
    <mergeCell ref="D15:E17"/>
    <mergeCell ref="F17:F18"/>
    <mergeCell ref="D7:E9"/>
    <mergeCell ref="N8:N9"/>
    <mergeCell ref="F9:F10"/>
    <mergeCell ref="D11:E13"/>
    <mergeCell ref="F13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92"/>
  <sheetViews>
    <sheetView workbookViewId="0"/>
  </sheetViews>
  <sheetFormatPr defaultColWidth="8.90625" defaultRowHeight="14" x14ac:dyDescent="0.2"/>
  <cols>
    <col min="1" max="1" width="4.6328125" style="22" customWidth="1"/>
    <col min="2" max="2" width="7.6328125" style="22" customWidth="1"/>
    <col min="3" max="3" width="37.453125" style="23" customWidth="1"/>
    <col min="4" max="4" width="4.90625" style="23" customWidth="1"/>
    <col min="5" max="5" width="4.90625" style="25" customWidth="1"/>
    <col min="6" max="6" width="11.453125" style="25" customWidth="1"/>
    <col min="7" max="7" width="2.453125" style="25" customWidth="1"/>
    <col min="8" max="8" width="4.453125" style="26" bestFit="1" customWidth="1"/>
    <col min="9" max="9" width="26" style="25" customWidth="1"/>
    <col min="10" max="10" width="2.453125" style="25" customWidth="1"/>
    <col min="11" max="11" width="5.453125" style="26" bestFit="1" customWidth="1"/>
    <col min="12" max="12" width="9.90625" style="25" customWidth="1"/>
    <col min="13" max="13" width="4.453125" style="26" bestFit="1" customWidth="1"/>
    <col min="14" max="14" width="7.08984375" style="28" customWidth="1"/>
    <col min="15" max="15" width="8.6328125" style="29" customWidth="1"/>
    <col min="16" max="16384" width="8.90625" style="25"/>
  </cols>
  <sheetData>
    <row r="1" spans="1:15" ht="17.149999999999999" customHeight="1" x14ac:dyDescent="0.2"/>
    <row r="2" spans="1:15" ht="17.149999999999999" customHeight="1" x14ac:dyDescent="0.2"/>
    <row r="3" spans="1:15" ht="17.149999999999999" customHeight="1" x14ac:dyDescent="0.2"/>
    <row r="4" spans="1:15" ht="17.149999999999999" customHeight="1" x14ac:dyDescent="0.2">
      <c r="B4" s="30" t="s">
        <v>1440</v>
      </c>
      <c r="D4" s="65"/>
    </row>
    <row r="5" spans="1:15" ht="16.5" customHeight="1" x14ac:dyDescent="0.2">
      <c r="A5" s="31" t="s">
        <v>386</v>
      </c>
      <c r="B5" s="32"/>
      <c r="C5" s="33" t="s">
        <v>387</v>
      </c>
      <c r="D5" s="34" t="s">
        <v>388</v>
      </c>
      <c r="E5" s="34"/>
      <c r="F5" s="34"/>
      <c r="G5" s="34"/>
      <c r="H5" s="35"/>
      <c r="I5" s="34"/>
      <c r="J5" s="34"/>
      <c r="K5" s="35"/>
      <c r="L5" s="34"/>
      <c r="M5" s="35"/>
      <c r="N5" s="36" t="s">
        <v>389</v>
      </c>
      <c r="O5" s="33" t="s">
        <v>390</v>
      </c>
    </row>
    <row r="6" spans="1:15" ht="16.5" customHeight="1" x14ac:dyDescent="0.2">
      <c r="A6" s="37" t="s">
        <v>391</v>
      </c>
      <c r="B6" s="37" t="s">
        <v>392</v>
      </c>
      <c r="C6" s="38"/>
      <c r="D6" s="40"/>
      <c r="E6" s="40"/>
      <c r="F6" s="40"/>
      <c r="G6" s="40"/>
      <c r="H6" s="41"/>
      <c r="I6" s="40"/>
      <c r="J6" s="40"/>
      <c r="K6" s="41"/>
      <c r="L6" s="40"/>
      <c r="M6" s="41"/>
      <c r="N6" s="42" t="s">
        <v>393</v>
      </c>
      <c r="O6" s="43" t="s">
        <v>394</v>
      </c>
    </row>
    <row r="7" spans="1:15" ht="16.5" customHeight="1" x14ac:dyDescent="0.2">
      <c r="A7" s="44">
        <v>16</v>
      </c>
      <c r="B7" s="44">
        <v>7111</v>
      </c>
      <c r="C7" s="45" t="s">
        <v>1441</v>
      </c>
      <c r="D7" s="245" t="s">
        <v>1923</v>
      </c>
      <c r="E7" s="274"/>
      <c r="F7" s="47"/>
      <c r="I7" s="54"/>
      <c r="J7" s="49"/>
      <c r="K7" s="50"/>
      <c r="L7" s="47"/>
      <c r="N7" s="51">
        <f>_11_A通院２０．５</f>
        <v>106</v>
      </c>
      <c r="O7" s="52" t="s">
        <v>395</v>
      </c>
    </row>
    <row r="8" spans="1:15" ht="16.5" customHeight="1" x14ac:dyDescent="0.2">
      <c r="A8" s="44">
        <v>16</v>
      </c>
      <c r="B8" s="53">
        <v>7112</v>
      </c>
      <c r="C8" s="69" t="s">
        <v>1442</v>
      </c>
      <c r="D8" s="273"/>
      <c r="E8" s="274"/>
      <c r="F8" s="54"/>
      <c r="G8" s="49"/>
      <c r="H8" s="50"/>
      <c r="I8" s="144" t="s">
        <v>396</v>
      </c>
      <c r="J8" s="131" t="s">
        <v>397</v>
      </c>
      <c r="K8" s="140">
        <v>1</v>
      </c>
      <c r="L8" s="47"/>
      <c r="N8" s="58">
        <f>ROUND((_11_A通院２０．５*_11・２人),0)</f>
        <v>106</v>
      </c>
      <c r="O8" s="59"/>
    </row>
    <row r="9" spans="1:15" ht="16.5" customHeight="1" x14ac:dyDescent="0.2">
      <c r="A9" s="44">
        <v>16</v>
      </c>
      <c r="B9" s="53">
        <v>7113</v>
      </c>
      <c r="C9" s="69" t="s">
        <v>1443</v>
      </c>
      <c r="D9" s="273"/>
      <c r="E9" s="274"/>
      <c r="F9" s="241" t="s">
        <v>398</v>
      </c>
      <c r="G9" s="132" t="s">
        <v>397</v>
      </c>
      <c r="H9" s="61">
        <v>0.9</v>
      </c>
      <c r="I9" s="109"/>
      <c r="J9" s="56"/>
      <c r="K9" s="57"/>
      <c r="L9" s="47"/>
      <c r="N9" s="58">
        <f>ROUND((_11_A通院２０．５*_11・基礎２),0)</f>
        <v>95</v>
      </c>
      <c r="O9" s="59"/>
    </row>
    <row r="10" spans="1:15" ht="16.5" customHeight="1" x14ac:dyDescent="0.2">
      <c r="A10" s="44">
        <v>16</v>
      </c>
      <c r="B10" s="53">
        <v>7114</v>
      </c>
      <c r="C10" s="69" t="s">
        <v>1444</v>
      </c>
      <c r="D10" s="142">
        <f>_11_A通院２０．５</f>
        <v>106</v>
      </c>
      <c r="E10" s="23" t="s">
        <v>394</v>
      </c>
      <c r="F10" s="276"/>
      <c r="G10" s="49"/>
      <c r="H10" s="50"/>
      <c r="I10" s="145" t="s">
        <v>396</v>
      </c>
      <c r="J10" s="131" t="s">
        <v>397</v>
      </c>
      <c r="K10" s="140">
        <v>1</v>
      </c>
      <c r="L10" s="47"/>
      <c r="N10" s="58">
        <f>ROUND((ROUND((_11_A通院２０．５*_11・基礎２),0)*_11・２人),0)</f>
        <v>95</v>
      </c>
      <c r="O10" s="59"/>
    </row>
    <row r="11" spans="1:15" ht="16.5" customHeight="1" x14ac:dyDescent="0.2">
      <c r="A11" s="44">
        <v>16</v>
      </c>
      <c r="B11" s="53">
        <v>7115</v>
      </c>
      <c r="C11" s="69" t="s">
        <v>1445</v>
      </c>
      <c r="D11" s="243" t="s">
        <v>1922</v>
      </c>
      <c r="E11" s="272"/>
      <c r="F11" s="62"/>
      <c r="G11" s="60"/>
      <c r="H11" s="61"/>
      <c r="I11" s="109"/>
      <c r="J11" s="56"/>
      <c r="K11" s="57"/>
      <c r="L11" s="62"/>
      <c r="M11" s="61"/>
      <c r="N11" s="58">
        <f>_11_A通院２１．０</f>
        <v>197</v>
      </c>
      <c r="O11" s="59"/>
    </row>
    <row r="12" spans="1:15" ht="16.5" customHeight="1" x14ac:dyDescent="0.2">
      <c r="A12" s="44">
        <v>16</v>
      </c>
      <c r="B12" s="53">
        <v>7116</v>
      </c>
      <c r="C12" s="69" t="s">
        <v>1446</v>
      </c>
      <c r="D12" s="273"/>
      <c r="E12" s="274"/>
      <c r="F12" s="54"/>
      <c r="G12" s="49"/>
      <c r="H12" s="50"/>
      <c r="I12" s="145" t="s">
        <v>396</v>
      </c>
      <c r="J12" s="131" t="s">
        <v>397</v>
      </c>
      <c r="K12" s="140">
        <v>1</v>
      </c>
      <c r="L12" s="47"/>
      <c r="N12" s="58">
        <f>ROUND((_11_A通院２１．０*_11・２人),0)</f>
        <v>197</v>
      </c>
      <c r="O12" s="59"/>
    </row>
    <row r="13" spans="1:15" ht="16.5" customHeight="1" x14ac:dyDescent="0.2">
      <c r="A13" s="44">
        <v>16</v>
      </c>
      <c r="B13" s="53">
        <v>7117</v>
      </c>
      <c r="C13" s="69" t="s">
        <v>1447</v>
      </c>
      <c r="D13" s="273"/>
      <c r="E13" s="274"/>
      <c r="F13" s="275" t="s">
        <v>398</v>
      </c>
      <c r="G13" s="132" t="s">
        <v>397</v>
      </c>
      <c r="H13" s="61">
        <v>0.9</v>
      </c>
      <c r="I13" s="109"/>
      <c r="J13" s="56"/>
      <c r="K13" s="57"/>
      <c r="L13" s="47"/>
      <c r="N13" s="58">
        <f>ROUND((_11_A通院２１．０*_11・基礎２),0)</f>
        <v>177</v>
      </c>
      <c r="O13" s="59"/>
    </row>
    <row r="14" spans="1:15" ht="16.5" customHeight="1" x14ac:dyDescent="0.2">
      <c r="A14" s="44">
        <v>16</v>
      </c>
      <c r="B14" s="53">
        <v>7118</v>
      </c>
      <c r="C14" s="69" t="s">
        <v>1448</v>
      </c>
      <c r="D14" s="142">
        <f>_11_A通院２１．０</f>
        <v>197</v>
      </c>
      <c r="E14" s="23" t="s">
        <v>394</v>
      </c>
      <c r="F14" s="276"/>
      <c r="G14" s="49"/>
      <c r="H14" s="50"/>
      <c r="I14" s="145" t="s">
        <v>396</v>
      </c>
      <c r="J14" s="131" t="s">
        <v>397</v>
      </c>
      <c r="K14" s="140">
        <v>1</v>
      </c>
      <c r="L14" s="47"/>
      <c r="N14" s="58">
        <f>ROUND((ROUND((_11_A通院２１．０*_11・基礎２),0)*_11・２人),0)</f>
        <v>177</v>
      </c>
      <c r="O14" s="59"/>
    </row>
    <row r="15" spans="1:15" ht="16.5" customHeight="1" x14ac:dyDescent="0.2">
      <c r="A15" s="44">
        <v>16</v>
      </c>
      <c r="B15" s="53">
        <v>7119</v>
      </c>
      <c r="C15" s="69" t="s">
        <v>1449</v>
      </c>
      <c r="D15" s="243" t="s">
        <v>1924</v>
      </c>
      <c r="E15" s="272"/>
      <c r="F15" s="62"/>
      <c r="G15" s="60"/>
      <c r="H15" s="61"/>
      <c r="I15" s="109"/>
      <c r="J15" s="56"/>
      <c r="K15" s="57"/>
      <c r="L15" s="62"/>
      <c r="M15" s="61"/>
      <c r="N15" s="58">
        <f>_11_A通院２１．５</f>
        <v>275</v>
      </c>
      <c r="O15" s="59"/>
    </row>
    <row r="16" spans="1:15" ht="16.5" customHeight="1" x14ac:dyDescent="0.2">
      <c r="A16" s="44">
        <v>16</v>
      </c>
      <c r="B16" s="53">
        <v>7120</v>
      </c>
      <c r="C16" s="69" t="s">
        <v>1450</v>
      </c>
      <c r="D16" s="273"/>
      <c r="E16" s="274"/>
      <c r="F16" s="54"/>
      <c r="G16" s="49"/>
      <c r="H16" s="50"/>
      <c r="I16" s="145" t="s">
        <v>396</v>
      </c>
      <c r="J16" s="131" t="s">
        <v>397</v>
      </c>
      <c r="K16" s="140">
        <v>1</v>
      </c>
      <c r="L16" s="47"/>
      <c r="N16" s="58">
        <f>ROUND((_11_A通院２１．５*_11・２人),0)</f>
        <v>275</v>
      </c>
      <c r="O16" s="59"/>
    </row>
    <row r="17" spans="1:15" ht="16.5" customHeight="1" x14ac:dyDescent="0.2">
      <c r="A17" s="44">
        <v>16</v>
      </c>
      <c r="B17" s="53">
        <v>7121</v>
      </c>
      <c r="C17" s="69" t="s">
        <v>1451</v>
      </c>
      <c r="D17" s="273"/>
      <c r="E17" s="274"/>
      <c r="F17" s="275" t="s">
        <v>398</v>
      </c>
      <c r="G17" s="132" t="s">
        <v>397</v>
      </c>
      <c r="H17" s="61">
        <v>0.9</v>
      </c>
      <c r="I17" s="109"/>
      <c r="J17" s="56"/>
      <c r="K17" s="57"/>
      <c r="L17" s="47"/>
      <c r="N17" s="58">
        <f>ROUND((_11_A通院２１．５*_11・基礎２),0)</f>
        <v>248</v>
      </c>
      <c r="O17" s="59"/>
    </row>
    <row r="18" spans="1:15" ht="16.5" customHeight="1" x14ac:dyDescent="0.2">
      <c r="A18" s="44">
        <v>16</v>
      </c>
      <c r="B18" s="53">
        <v>7122</v>
      </c>
      <c r="C18" s="69" t="s">
        <v>1452</v>
      </c>
      <c r="D18" s="142">
        <f>_11_A通院２１．５</f>
        <v>275</v>
      </c>
      <c r="E18" s="23" t="s">
        <v>394</v>
      </c>
      <c r="F18" s="276"/>
      <c r="G18" s="49"/>
      <c r="H18" s="50"/>
      <c r="I18" s="145" t="s">
        <v>396</v>
      </c>
      <c r="J18" s="131" t="s">
        <v>397</v>
      </c>
      <c r="K18" s="140">
        <v>1</v>
      </c>
      <c r="L18" s="47"/>
      <c r="N18" s="58">
        <f>ROUND((ROUND((_11_A通院２１．５*_11・基礎２),0)*_11・２人),0)</f>
        <v>248</v>
      </c>
      <c r="O18" s="59"/>
    </row>
    <row r="19" spans="1:15" ht="16.5" customHeight="1" x14ac:dyDescent="0.2">
      <c r="A19" s="44">
        <v>16</v>
      </c>
      <c r="B19" s="53">
        <v>7123</v>
      </c>
      <c r="C19" s="69" t="s">
        <v>1453</v>
      </c>
      <c r="D19" s="243" t="s">
        <v>1925</v>
      </c>
      <c r="E19" s="272"/>
      <c r="F19" s="62"/>
      <c r="G19" s="60"/>
      <c r="H19" s="61"/>
      <c r="I19" s="109"/>
      <c r="J19" s="56"/>
      <c r="K19" s="57"/>
      <c r="L19" s="62"/>
      <c r="M19" s="61"/>
      <c r="N19" s="58">
        <f>_11_A通院２２．０</f>
        <v>345</v>
      </c>
      <c r="O19" s="59"/>
    </row>
    <row r="20" spans="1:15" ht="16.5" customHeight="1" x14ac:dyDescent="0.2">
      <c r="A20" s="44">
        <v>16</v>
      </c>
      <c r="B20" s="53">
        <v>7124</v>
      </c>
      <c r="C20" s="69" t="s">
        <v>1454</v>
      </c>
      <c r="D20" s="273"/>
      <c r="E20" s="274"/>
      <c r="F20" s="54"/>
      <c r="G20" s="49"/>
      <c r="H20" s="50"/>
      <c r="I20" s="145" t="s">
        <v>396</v>
      </c>
      <c r="J20" s="131" t="s">
        <v>397</v>
      </c>
      <c r="K20" s="140">
        <v>1</v>
      </c>
      <c r="L20" s="47"/>
      <c r="N20" s="58">
        <f>ROUND((_11_A通院２２．０*_11・２人),0)</f>
        <v>345</v>
      </c>
      <c r="O20" s="59"/>
    </row>
    <row r="21" spans="1:15" ht="16.5" customHeight="1" x14ac:dyDescent="0.2">
      <c r="A21" s="44">
        <v>16</v>
      </c>
      <c r="B21" s="53">
        <v>7125</v>
      </c>
      <c r="C21" s="69" t="s">
        <v>1455</v>
      </c>
      <c r="D21" s="273"/>
      <c r="E21" s="274"/>
      <c r="F21" s="275" t="s">
        <v>398</v>
      </c>
      <c r="G21" s="132" t="s">
        <v>397</v>
      </c>
      <c r="H21" s="61">
        <v>0.9</v>
      </c>
      <c r="I21" s="109"/>
      <c r="J21" s="56"/>
      <c r="K21" s="57"/>
      <c r="L21" s="47"/>
      <c r="N21" s="58">
        <f>ROUND((_11_A通院２２．０*_11・基礎２),0)</f>
        <v>311</v>
      </c>
      <c r="O21" s="59"/>
    </row>
    <row r="22" spans="1:15" ht="16.5" customHeight="1" x14ac:dyDescent="0.2">
      <c r="A22" s="44">
        <v>16</v>
      </c>
      <c r="B22" s="53">
        <v>7126</v>
      </c>
      <c r="C22" s="69" t="s">
        <v>1456</v>
      </c>
      <c r="D22" s="142">
        <f>_11_A通院２２．０</f>
        <v>345</v>
      </c>
      <c r="E22" s="23" t="s">
        <v>394</v>
      </c>
      <c r="F22" s="276"/>
      <c r="G22" s="49"/>
      <c r="H22" s="50"/>
      <c r="I22" s="145" t="s">
        <v>396</v>
      </c>
      <c r="J22" s="131" t="s">
        <v>397</v>
      </c>
      <c r="K22" s="140">
        <v>1</v>
      </c>
      <c r="L22" s="47"/>
      <c r="N22" s="58">
        <f>ROUND((ROUND((_11_A通院２２．０*_11・基礎２),0)*_11・２人),0)</f>
        <v>311</v>
      </c>
      <c r="O22" s="59"/>
    </row>
    <row r="23" spans="1:15" ht="16.5" customHeight="1" x14ac:dyDescent="0.2">
      <c r="A23" s="44">
        <v>16</v>
      </c>
      <c r="B23" s="53">
        <v>7127</v>
      </c>
      <c r="C23" s="69" t="s">
        <v>1457</v>
      </c>
      <c r="D23" s="243" t="s">
        <v>1926</v>
      </c>
      <c r="E23" s="272"/>
      <c r="F23" s="62"/>
      <c r="G23" s="60"/>
      <c r="H23" s="61"/>
      <c r="I23" s="109"/>
      <c r="J23" s="56"/>
      <c r="K23" s="57"/>
      <c r="L23" s="62"/>
      <c r="M23" s="61"/>
      <c r="N23" s="58">
        <f>_11_A通院２２．５</f>
        <v>414</v>
      </c>
      <c r="O23" s="59"/>
    </row>
    <row r="24" spans="1:15" ht="16.5" customHeight="1" x14ac:dyDescent="0.2">
      <c r="A24" s="44">
        <v>16</v>
      </c>
      <c r="B24" s="53">
        <v>7128</v>
      </c>
      <c r="C24" s="69" t="s">
        <v>1458</v>
      </c>
      <c r="D24" s="273"/>
      <c r="E24" s="274"/>
      <c r="F24" s="54"/>
      <c r="G24" s="49"/>
      <c r="H24" s="50"/>
      <c r="I24" s="145" t="s">
        <v>396</v>
      </c>
      <c r="J24" s="131" t="s">
        <v>397</v>
      </c>
      <c r="K24" s="140">
        <v>1</v>
      </c>
      <c r="L24" s="47"/>
      <c r="N24" s="58">
        <f>ROUND((_11_A通院２２．５*_11・２人),0)</f>
        <v>414</v>
      </c>
      <c r="O24" s="59"/>
    </row>
    <row r="25" spans="1:15" ht="16.5" customHeight="1" x14ac:dyDescent="0.2">
      <c r="A25" s="44">
        <v>16</v>
      </c>
      <c r="B25" s="53">
        <v>7129</v>
      </c>
      <c r="C25" s="69" t="s">
        <v>1459</v>
      </c>
      <c r="D25" s="273"/>
      <c r="E25" s="274"/>
      <c r="F25" s="275" t="s">
        <v>398</v>
      </c>
      <c r="G25" s="132" t="s">
        <v>397</v>
      </c>
      <c r="H25" s="61">
        <v>0.9</v>
      </c>
      <c r="I25" s="109"/>
      <c r="J25" s="56"/>
      <c r="K25" s="57"/>
      <c r="L25" s="47"/>
      <c r="N25" s="58">
        <f>ROUND((_11_A通院２２．５*_11・基礎２),0)</f>
        <v>373</v>
      </c>
      <c r="O25" s="59"/>
    </row>
    <row r="26" spans="1:15" ht="16.5" customHeight="1" x14ac:dyDescent="0.2">
      <c r="A26" s="44">
        <v>16</v>
      </c>
      <c r="B26" s="53">
        <v>7130</v>
      </c>
      <c r="C26" s="69" t="s">
        <v>1460</v>
      </c>
      <c r="D26" s="142">
        <f>_11_A通院２２．５</f>
        <v>414</v>
      </c>
      <c r="E26" s="23" t="s">
        <v>394</v>
      </c>
      <c r="F26" s="276"/>
      <c r="G26" s="49"/>
      <c r="H26" s="50"/>
      <c r="I26" s="145" t="s">
        <v>396</v>
      </c>
      <c r="J26" s="131" t="s">
        <v>397</v>
      </c>
      <c r="K26" s="140">
        <v>1</v>
      </c>
      <c r="L26" s="47"/>
      <c r="N26" s="58">
        <f>ROUND((ROUND((_11_A通院２２．５*_11・基礎２),0)*_11・２人),0)</f>
        <v>373</v>
      </c>
      <c r="O26" s="59"/>
    </row>
    <row r="27" spans="1:15" ht="16.5" customHeight="1" x14ac:dyDescent="0.2">
      <c r="A27" s="44">
        <v>16</v>
      </c>
      <c r="B27" s="53">
        <v>7131</v>
      </c>
      <c r="C27" s="69" t="s">
        <v>1461</v>
      </c>
      <c r="D27" s="243" t="s">
        <v>1927</v>
      </c>
      <c r="E27" s="272"/>
      <c r="F27" s="62"/>
      <c r="G27" s="60"/>
      <c r="H27" s="61"/>
      <c r="I27" s="109"/>
      <c r="J27" s="56"/>
      <c r="K27" s="57"/>
      <c r="L27" s="62"/>
      <c r="M27" s="61"/>
      <c r="N27" s="58">
        <f>_11_A通院２３．０</f>
        <v>483</v>
      </c>
      <c r="O27" s="59"/>
    </row>
    <row r="28" spans="1:15" ht="16.5" customHeight="1" x14ac:dyDescent="0.2">
      <c r="A28" s="44">
        <v>16</v>
      </c>
      <c r="B28" s="53">
        <v>7132</v>
      </c>
      <c r="C28" s="69" t="s">
        <v>1462</v>
      </c>
      <c r="D28" s="273"/>
      <c r="E28" s="274"/>
      <c r="F28" s="54"/>
      <c r="G28" s="49"/>
      <c r="H28" s="50"/>
      <c r="I28" s="145" t="s">
        <v>396</v>
      </c>
      <c r="J28" s="131" t="s">
        <v>397</v>
      </c>
      <c r="K28" s="140">
        <v>1</v>
      </c>
      <c r="L28" s="47"/>
      <c r="N28" s="58">
        <f>ROUND((_11_A通院２３．０*_11・２人),0)</f>
        <v>483</v>
      </c>
      <c r="O28" s="59"/>
    </row>
    <row r="29" spans="1:15" ht="16.5" customHeight="1" x14ac:dyDescent="0.2">
      <c r="A29" s="44">
        <v>16</v>
      </c>
      <c r="B29" s="53">
        <v>7133</v>
      </c>
      <c r="C29" s="69" t="s">
        <v>1463</v>
      </c>
      <c r="D29" s="273"/>
      <c r="E29" s="274"/>
      <c r="F29" s="275" t="s">
        <v>398</v>
      </c>
      <c r="G29" s="132" t="s">
        <v>397</v>
      </c>
      <c r="H29" s="61">
        <v>0.9</v>
      </c>
      <c r="I29" s="109"/>
      <c r="J29" s="56"/>
      <c r="K29" s="57"/>
      <c r="L29" s="47"/>
      <c r="N29" s="58">
        <f>ROUND((_11_A通院２３．０*_11・基礎２),0)</f>
        <v>435</v>
      </c>
      <c r="O29" s="59"/>
    </row>
    <row r="30" spans="1:15" ht="16.5" customHeight="1" x14ac:dyDescent="0.2">
      <c r="A30" s="44">
        <v>16</v>
      </c>
      <c r="B30" s="53">
        <v>7134</v>
      </c>
      <c r="C30" s="69" t="s">
        <v>1464</v>
      </c>
      <c r="D30" s="142">
        <f>_11_A通院２３．０</f>
        <v>483</v>
      </c>
      <c r="E30" s="23" t="s">
        <v>394</v>
      </c>
      <c r="F30" s="276"/>
      <c r="G30" s="49"/>
      <c r="H30" s="50"/>
      <c r="I30" s="145" t="s">
        <v>396</v>
      </c>
      <c r="J30" s="131" t="s">
        <v>397</v>
      </c>
      <c r="K30" s="140">
        <v>1</v>
      </c>
      <c r="L30" s="47"/>
      <c r="N30" s="58">
        <f>ROUND((ROUND((_11_A通院２３．０*_11・基礎２),0)*_11・２人),0)</f>
        <v>435</v>
      </c>
      <c r="O30" s="59"/>
    </row>
    <row r="31" spans="1:15" ht="16.5" customHeight="1" x14ac:dyDescent="0.2">
      <c r="A31" s="44">
        <v>16</v>
      </c>
      <c r="B31" s="53">
        <v>7135</v>
      </c>
      <c r="C31" s="69" t="s">
        <v>1465</v>
      </c>
      <c r="D31" s="243" t="s">
        <v>1928</v>
      </c>
      <c r="E31" s="272"/>
      <c r="F31" s="62"/>
      <c r="G31" s="60"/>
      <c r="H31" s="61"/>
      <c r="I31" s="109"/>
      <c r="J31" s="56"/>
      <c r="K31" s="57"/>
      <c r="L31" s="62"/>
      <c r="M31" s="61"/>
      <c r="N31" s="58">
        <f>_11_A通院２３．５</f>
        <v>552</v>
      </c>
      <c r="O31" s="59"/>
    </row>
    <row r="32" spans="1:15" ht="16.5" customHeight="1" x14ac:dyDescent="0.2">
      <c r="A32" s="44">
        <v>16</v>
      </c>
      <c r="B32" s="53">
        <v>7136</v>
      </c>
      <c r="C32" s="69" t="s">
        <v>1466</v>
      </c>
      <c r="D32" s="273"/>
      <c r="E32" s="274"/>
      <c r="F32" s="54"/>
      <c r="G32" s="49"/>
      <c r="H32" s="50"/>
      <c r="I32" s="145" t="s">
        <v>396</v>
      </c>
      <c r="J32" s="131" t="s">
        <v>397</v>
      </c>
      <c r="K32" s="140">
        <v>1</v>
      </c>
      <c r="L32" s="47"/>
      <c r="N32" s="58">
        <f>ROUND((_11_A通院２３．５*_11・２人),0)</f>
        <v>552</v>
      </c>
      <c r="O32" s="59"/>
    </row>
    <row r="33" spans="1:15" ht="16.5" customHeight="1" x14ac:dyDescent="0.2">
      <c r="A33" s="44">
        <v>16</v>
      </c>
      <c r="B33" s="53">
        <v>7137</v>
      </c>
      <c r="C33" s="69" t="s">
        <v>1467</v>
      </c>
      <c r="D33" s="273"/>
      <c r="E33" s="274"/>
      <c r="F33" s="275" t="s">
        <v>398</v>
      </c>
      <c r="G33" s="132" t="s">
        <v>397</v>
      </c>
      <c r="H33" s="61">
        <v>0.9</v>
      </c>
      <c r="I33" s="109"/>
      <c r="J33" s="56"/>
      <c r="K33" s="57"/>
      <c r="L33" s="47"/>
      <c r="N33" s="58">
        <f>ROUND((_11_A通院２３．５*_11・基礎２),0)</f>
        <v>497</v>
      </c>
      <c r="O33" s="59"/>
    </row>
    <row r="34" spans="1:15" ht="16.5" customHeight="1" x14ac:dyDescent="0.2">
      <c r="A34" s="44">
        <v>16</v>
      </c>
      <c r="B34" s="53">
        <v>7138</v>
      </c>
      <c r="C34" s="69" t="s">
        <v>1468</v>
      </c>
      <c r="D34" s="142">
        <f>_11_A通院２３．５</f>
        <v>552</v>
      </c>
      <c r="E34" s="23" t="s">
        <v>394</v>
      </c>
      <c r="F34" s="276"/>
      <c r="G34" s="49"/>
      <c r="H34" s="50"/>
      <c r="I34" s="145" t="s">
        <v>396</v>
      </c>
      <c r="J34" s="131" t="s">
        <v>397</v>
      </c>
      <c r="K34" s="140">
        <v>1</v>
      </c>
      <c r="L34" s="47"/>
      <c r="N34" s="58">
        <f>ROUND((ROUND((_11_A通院２３．５*_11・基礎２),0)*_11・２人),0)</f>
        <v>497</v>
      </c>
      <c r="O34" s="59"/>
    </row>
    <row r="35" spans="1:15" ht="16.5" customHeight="1" x14ac:dyDescent="0.2">
      <c r="A35" s="44">
        <v>16</v>
      </c>
      <c r="B35" s="53">
        <v>7139</v>
      </c>
      <c r="C35" s="69" t="s">
        <v>1469</v>
      </c>
      <c r="D35" s="243" t="s">
        <v>1929</v>
      </c>
      <c r="E35" s="272"/>
      <c r="F35" s="62"/>
      <c r="G35" s="60"/>
      <c r="H35" s="61"/>
      <c r="I35" s="109"/>
      <c r="J35" s="56"/>
      <c r="K35" s="57"/>
      <c r="L35" s="62"/>
      <c r="M35" s="61"/>
      <c r="N35" s="58">
        <f>_11_A通院２４．０</f>
        <v>621</v>
      </c>
      <c r="O35" s="59"/>
    </row>
    <row r="36" spans="1:15" ht="16.5" customHeight="1" x14ac:dyDescent="0.2">
      <c r="A36" s="44">
        <v>16</v>
      </c>
      <c r="B36" s="53">
        <v>7140</v>
      </c>
      <c r="C36" s="69" t="s">
        <v>1470</v>
      </c>
      <c r="D36" s="273"/>
      <c r="E36" s="274"/>
      <c r="F36" s="54"/>
      <c r="G36" s="49"/>
      <c r="H36" s="50"/>
      <c r="I36" s="145" t="s">
        <v>396</v>
      </c>
      <c r="J36" s="131" t="s">
        <v>397</v>
      </c>
      <c r="K36" s="140">
        <v>1</v>
      </c>
      <c r="L36" s="47"/>
      <c r="N36" s="58">
        <f>ROUND((_11_A通院２４．０*_11・２人),0)</f>
        <v>621</v>
      </c>
      <c r="O36" s="59"/>
    </row>
    <row r="37" spans="1:15" ht="16.5" customHeight="1" x14ac:dyDescent="0.2">
      <c r="A37" s="44">
        <v>16</v>
      </c>
      <c r="B37" s="53">
        <v>7141</v>
      </c>
      <c r="C37" s="69" t="s">
        <v>1471</v>
      </c>
      <c r="D37" s="273"/>
      <c r="E37" s="274"/>
      <c r="F37" s="275" t="s">
        <v>398</v>
      </c>
      <c r="G37" s="132" t="s">
        <v>397</v>
      </c>
      <c r="H37" s="61">
        <v>0.9</v>
      </c>
      <c r="I37" s="109"/>
      <c r="J37" s="56"/>
      <c r="K37" s="57"/>
      <c r="L37" s="47"/>
      <c r="N37" s="58">
        <f>ROUND((_11_A通院２４．０*_11・基礎２),0)</f>
        <v>559</v>
      </c>
      <c r="O37" s="59"/>
    </row>
    <row r="38" spans="1:15" ht="16.5" customHeight="1" x14ac:dyDescent="0.2">
      <c r="A38" s="44">
        <v>16</v>
      </c>
      <c r="B38" s="53">
        <v>7142</v>
      </c>
      <c r="C38" s="69" t="s">
        <v>1472</v>
      </c>
      <c r="D38" s="142">
        <f>_11_A通院２４．０</f>
        <v>621</v>
      </c>
      <c r="E38" s="23" t="s">
        <v>394</v>
      </c>
      <c r="F38" s="276"/>
      <c r="G38" s="49"/>
      <c r="H38" s="50"/>
      <c r="I38" s="145" t="s">
        <v>396</v>
      </c>
      <c r="J38" s="131" t="s">
        <v>397</v>
      </c>
      <c r="K38" s="140">
        <v>1</v>
      </c>
      <c r="L38" s="47"/>
      <c r="N38" s="58">
        <f>ROUND((ROUND((_11_A通院２４．０*_11・基礎２),0)*_11・２人),0)</f>
        <v>559</v>
      </c>
      <c r="O38" s="59"/>
    </row>
    <row r="39" spans="1:15" ht="16.5" customHeight="1" x14ac:dyDescent="0.2">
      <c r="A39" s="44">
        <v>16</v>
      </c>
      <c r="B39" s="53">
        <v>7143</v>
      </c>
      <c r="C39" s="69" t="s">
        <v>1473</v>
      </c>
      <c r="D39" s="243" t="s">
        <v>1930</v>
      </c>
      <c r="E39" s="272"/>
      <c r="F39" s="62"/>
      <c r="G39" s="60"/>
      <c r="H39" s="61"/>
      <c r="I39" s="109"/>
      <c r="J39" s="56"/>
      <c r="K39" s="57"/>
      <c r="L39" s="62"/>
      <c r="M39" s="61"/>
      <c r="N39" s="58">
        <f>_11_A通院２４．５</f>
        <v>690</v>
      </c>
      <c r="O39" s="59"/>
    </row>
    <row r="40" spans="1:15" ht="16.5" customHeight="1" x14ac:dyDescent="0.2">
      <c r="A40" s="44">
        <v>16</v>
      </c>
      <c r="B40" s="53">
        <v>7144</v>
      </c>
      <c r="C40" s="69" t="s">
        <v>1474</v>
      </c>
      <c r="D40" s="273"/>
      <c r="E40" s="274"/>
      <c r="F40" s="54"/>
      <c r="G40" s="49"/>
      <c r="H40" s="50"/>
      <c r="I40" s="145" t="s">
        <v>396</v>
      </c>
      <c r="J40" s="131" t="s">
        <v>397</v>
      </c>
      <c r="K40" s="140">
        <v>1</v>
      </c>
      <c r="L40" s="47"/>
      <c r="N40" s="58">
        <f>ROUND((_11_A通院２４．５*_11・２人),0)</f>
        <v>690</v>
      </c>
      <c r="O40" s="59"/>
    </row>
    <row r="41" spans="1:15" ht="16.5" customHeight="1" x14ac:dyDescent="0.2">
      <c r="A41" s="44">
        <v>16</v>
      </c>
      <c r="B41" s="53">
        <v>7145</v>
      </c>
      <c r="C41" s="69" t="s">
        <v>1475</v>
      </c>
      <c r="D41" s="273"/>
      <c r="E41" s="274"/>
      <c r="F41" s="275" t="s">
        <v>398</v>
      </c>
      <c r="G41" s="132" t="s">
        <v>397</v>
      </c>
      <c r="H41" s="61">
        <v>0.9</v>
      </c>
      <c r="I41" s="109"/>
      <c r="J41" s="56"/>
      <c r="K41" s="57"/>
      <c r="L41" s="47"/>
      <c r="N41" s="58">
        <f>ROUND((_11_A通院２４．５*_11・基礎２),0)</f>
        <v>621</v>
      </c>
      <c r="O41" s="59"/>
    </row>
    <row r="42" spans="1:15" ht="16.5" customHeight="1" x14ac:dyDescent="0.2">
      <c r="A42" s="44">
        <v>16</v>
      </c>
      <c r="B42" s="53">
        <v>7146</v>
      </c>
      <c r="C42" s="69" t="s">
        <v>1476</v>
      </c>
      <c r="D42" s="142">
        <f>_11_A通院２４．５</f>
        <v>690</v>
      </c>
      <c r="E42" s="23" t="s">
        <v>394</v>
      </c>
      <c r="F42" s="276"/>
      <c r="G42" s="49"/>
      <c r="H42" s="50"/>
      <c r="I42" s="145" t="s">
        <v>396</v>
      </c>
      <c r="J42" s="131" t="s">
        <v>397</v>
      </c>
      <c r="K42" s="140">
        <v>1</v>
      </c>
      <c r="L42" s="47"/>
      <c r="N42" s="58">
        <f>ROUND((ROUND((_11_A通院２４．５*_11・基礎２),0)*_11・２人),0)</f>
        <v>621</v>
      </c>
      <c r="O42" s="59"/>
    </row>
    <row r="43" spans="1:15" ht="16.5" customHeight="1" x14ac:dyDescent="0.2">
      <c r="A43" s="44">
        <v>16</v>
      </c>
      <c r="B43" s="44">
        <v>7147</v>
      </c>
      <c r="C43" s="45" t="s">
        <v>1477</v>
      </c>
      <c r="D43" s="245" t="s">
        <v>1931</v>
      </c>
      <c r="E43" s="274"/>
      <c r="F43" s="47"/>
      <c r="I43" s="54"/>
      <c r="J43" s="49"/>
      <c r="K43" s="50"/>
      <c r="L43" s="47"/>
      <c r="N43" s="51">
        <f>_11_A通院２５．０</f>
        <v>759</v>
      </c>
      <c r="O43" s="52"/>
    </row>
    <row r="44" spans="1:15" ht="16.5" customHeight="1" x14ac:dyDescent="0.2">
      <c r="A44" s="44">
        <v>16</v>
      </c>
      <c r="B44" s="53">
        <v>7148</v>
      </c>
      <c r="C44" s="69" t="s">
        <v>1478</v>
      </c>
      <c r="D44" s="273"/>
      <c r="E44" s="274"/>
      <c r="F44" s="54"/>
      <c r="G44" s="49"/>
      <c r="H44" s="50"/>
      <c r="I44" s="145" t="s">
        <v>396</v>
      </c>
      <c r="J44" s="131" t="s">
        <v>397</v>
      </c>
      <c r="K44" s="140">
        <v>1</v>
      </c>
      <c r="L44" s="47"/>
      <c r="N44" s="58">
        <f>ROUND((_11_A通院２５．０*_11・２人),0)</f>
        <v>759</v>
      </c>
      <c r="O44" s="59"/>
    </row>
    <row r="45" spans="1:15" ht="16.5" customHeight="1" x14ac:dyDescent="0.2">
      <c r="A45" s="44">
        <v>16</v>
      </c>
      <c r="B45" s="53">
        <v>7149</v>
      </c>
      <c r="C45" s="69" t="s">
        <v>1479</v>
      </c>
      <c r="D45" s="273"/>
      <c r="E45" s="274"/>
      <c r="F45" s="275" t="s">
        <v>398</v>
      </c>
      <c r="G45" s="132" t="s">
        <v>397</v>
      </c>
      <c r="H45" s="61">
        <v>0.9</v>
      </c>
      <c r="I45" s="109"/>
      <c r="J45" s="56"/>
      <c r="K45" s="57"/>
      <c r="L45" s="47"/>
      <c r="N45" s="58">
        <f>ROUND((_11_A通院２５．０*_11・基礎２),0)</f>
        <v>683</v>
      </c>
      <c r="O45" s="59"/>
    </row>
    <row r="46" spans="1:15" ht="16.5" customHeight="1" x14ac:dyDescent="0.2">
      <c r="A46" s="44">
        <v>16</v>
      </c>
      <c r="B46" s="53">
        <v>7150</v>
      </c>
      <c r="C46" s="69" t="s">
        <v>1480</v>
      </c>
      <c r="D46" s="142">
        <f>_11_A通院２５．０</f>
        <v>759</v>
      </c>
      <c r="E46" s="23" t="s">
        <v>394</v>
      </c>
      <c r="F46" s="276"/>
      <c r="G46" s="49"/>
      <c r="H46" s="50"/>
      <c r="I46" s="145" t="s">
        <v>396</v>
      </c>
      <c r="J46" s="131" t="s">
        <v>397</v>
      </c>
      <c r="K46" s="140">
        <v>1</v>
      </c>
      <c r="L46" s="47"/>
      <c r="N46" s="58">
        <f>ROUND((ROUND((_11_A通院２５．０*_11・基礎２),0)*_11・２人),0)</f>
        <v>683</v>
      </c>
      <c r="O46" s="59"/>
    </row>
    <row r="47" spans="1:15" ht="16.5" customHeight="1" x14ac:dyDescent="0.2">
      <c r="A47" s="44">
        <v>16</v>
      </c>
      <c r="B47" s="53">
        <v>7151</v>
      </c>
      <c r="C47" s="69" t="s">
        <v>1481</v>
      </c>
      <c r="D47" s="243" t="s">
        <v>1932</v>
      </c>
      <c r="E47" s="272"/>
      <c r="F47" s="62"/>
      <c r="G47" s="60"/>
      <c r="H47" s="61"/>
      <c r="I47" s="109"/>
      <c r="J47" s="56"/>
      <c r="K47" s="57"/>
      <c r="L47" s="62"/>
      <c r="M47" s="61"/>
      <c r="N47" s="58">
        <f>_11_A通院２５．５</f>
        <v>828</v>
      </c>
      <c r="O47" s="59"/>
    </row>
    <row r="48" spans="1:15" ht="16.5" customHeight="1" x14ac:dyDescent="0.2">
      <c r="A48" s="44">
        <v>16</v>
      </c>
      <c r="B48" s="53">
        <v>7152</v>
      </c>
      <c r="C48" s="69" t="s">
        <v>1482</v>
      </c>
      <c r="D48" s="273"/>
      <c r="E48" s="274"/>
      <c r="F48" s="54"/>
      <c r="G48" s="49"/>
      <c r="H48" s="50"/>
      <c r="I48" s="145" t="s">
        <v>396</v>
      </c>
      <c r="J48" s="131" t="s">
        <v>397</v>
      </c>
      <c r="K48" s="140">
        <v>1</v>
      </c>
      <c r="L48" s="47"/>
      <c r="N48" s="58">
        <f>ROUND((_11_A通院２５．５*_11・２人),0)</f>
        <v>828</v>
      </c>
      <c r="O48" s="59"/>
    </row>
    <row r="49" spans="1:15" ht="16.5" customHeight="1" x14ac:dyDescent="0.2">
      <c r="A49" s="44">
        <v>16</v>
      </c>
      <c r="B49" s="53">
        <v>7153</v>
      </c>
      <c r="C49" s="69" t="s">
        <v>1483</v>
      </c>
      <c r="D49" s="273"/>
      <c r="E49" s="274"/>
      <c r="F49" s="275" t="s">
        <v>398</v>
      </c>
      <c r="G49" s="132" t="s">
        <v>397</v>
      </c>
      <c r="H49" s="61">
        <v>0.9</v>
      </c>
      <c r="I49" s="109"/>
      <c r="J49" s="56"/>
      <c r="K49" s="57"/>
      <c r="L49" s="47"/>
      <c r="N49" s="58">
        <f>ROUND((_11_A通院２５．５*_11・基礎２),0)</f>
        <v>745</v>
      </c>
      <c r="O49" s="59"/>
    </row>
    <row r="50" spans="1:15" ht="16.5" customHeight="1" x14ac:dyDescent="0.2">
      <c r="A50" s="44">
        <v>16</v>
      </c>
      <c r="B50" s="53">
        <v>7154</v>
      </c>
      <c r="C50" s="69" t="s">
        <v>1484</v>
      </c>
      <c r="D50" s="142">
        <f>_11_A通院２５．５</f>
        <v>828</v>
      </c>
      <c r="E50" s="23" t="s">
        <v>394</v>
      </c>
      <c r="F50" s="276"/>
      <c r="G50" s="49"/>
      <c r="H50" s="50"/>
      <c r="I50" s="145" t="s">
        <v>396</v>
      </c>
      <c r="J50" s="131" t="s">
        <v>397</v>
      </c>
      <c r="K50" s="140">
        <v>1</v>
      </c>
      <c r="L50" s="47"/>
      <c r="N50" s="58">
        <f>ROUND((ROUND((_11_A通院２５．５*_11・基礎２),0)*_11・２人),0)</f>
        <v>745</v>
      </c>
      <c r="O50" s="59"/>
    </row>
    <row r="51" spans="1:15" ht="16.5" customHeight="1" x14ac:dyDescent="0.2">
      <c r="A51" s="44">
        <v>16</v>
      </c>
      <c r="B51" s="53">
        <v>7155</v>
      </c>
      <c r="C51" s="69" t="s">
        <v>1485</v>
      </c>
      <c r="D51" s="243" t="s">
        <v>1933</v>
      </c>
      <c r="E51" s="272"/>
      <c r="F51" s="62"/>
      <c r="G51" s="60"/>
      <c r="H51" s="61"/>
      <c r="I51" s="109"/>
      <c r="J51" s="56"/>
      <c r="K51" s="57"/>
      <c r="L51" s="62"/>
      <c r="M51" s="61"/>
      <c r="N51" s="58">
        <f>_11_A通院２６．０</f>
        <v>897</v>
      </c>
      <c r="O51" s="59"/>
    </row>
    <row r="52" spans="1:15" ht="16.5" customHeight="1" x14ac:dyDescent="0.2">
      <c r="A52" s="44">
        <v>16</v>
      </c>
      <c r="B52" s="53">
        <v>7156</v>
      </c>
      <c r="C52" s="69" t="s">
        <v>1486</v>
      </c>
      <c r="D52" s="273"/>
      <c r="E52" s="274"/>
      <c r="F52" s="54"/>
      <c r="G52" s="49"/>
      <c r="H52" s="50"/>
      <c r="I52" s="145" t="s">
        <v>396</v>
      </c>
      <c r="J52" s="131" t="s">
        <v>397</v>
      </c>
      <c r="K52" s="140">
        <v>1</v>
      </c>
      <c r="L52" s="47"/>
      <c r="N52" s="58">
        <f>ROUND((_11_A通院２６．０*_11・２人),0)</f>
        <v>897</v>
      </c>
      <c r="O52" s="59"/>
    </row>
    <row r="53" spans="1:15" ht="16.5" customHeight="1" x14ac:dyDescent="0.2">
      <c r="A53" s="44">
        <v>16</v>
      </c>
      <c r="B53" s="53">
        <v>7157</v>
      </c>
      <c r="C53" s="69" t="s">
        <v>1487</v>
      </c>
      <c r="D53" s="273"/>
      <c r="E53" s="274"/>
      <c r="F53" s="275" t="s">
        <v>398</v>
      </c>
      <c r="G53" s="132" t="s">
        <v>397</v>
      </c>
      <c r="H53" s="61">
        <v>0.9</v>
      </c>
      <c r="I53" s="109"/>
      <c r="J53" s="56"/>
      <c r="K53" s="57"/>
      <c r="L53" s="47"/>
      <c r="N53" s="58">
        <f>ROUND((_11_A通院２６．０*_11・基礎２),0)</f>
        <v>807</v>
      </c>
      <c r="O53" s="59"/>
    </row>
    <row r="54" spans="1:15" ht="16.5" customHeight="1" x14ac:dyDescent="0.2">
      <c r="A54" s="44">
        <v>16</v>
      </c>
      <c r="B54" s="53">
        <v>7158</v>
      </c>
      <c r="C54" s="69" t="s">
        <v>1488</v>
      </c>
      <c r="D54" s="142">
        <f>_11_A通院２６．０</f>
        <v>897</v>
      </c>
      <c r="E54" s="23" t="s">
        <v>394</v>
      </c>
      <c r="F54" s="276"/>
      <c r="G54" s="49"/>
      <c r="H54" s="50"/>
      <c r="I54" s="145" t="s">
        <v>396</v>
      </c>
      <c r="J54" s="131" t="s">
        <v>397</v>
      </c>
      <c r="K54" s="140">
        <v>1</v>
      </c>
      <c r="L54" s="47"/>
      <c r="N54" s="58">
        <f>ROUND((ROUND((_11_A通院２６．０*_11・基礎２),0)*_11・２人),0)</f>
        <v>807</v>
      </c>
      <c r="O54" s="59"/>
    </row>
    <row r="55" spans="1:15" ht="16.5" customHeight="1" x14ac:dyDescent="0.2">
      <c r="A55" s="44">
        <v>16</v>
      </c>
      <c r="B55" s="53">
        <v>7159</v>
      </c>
      <c r="C55" s="69" t="s">
        <v>1489</v>
      </c>
      <c r="D55" s="243" t="s">
        <v>1934</v>
      </c>
      <c r="E55" s="272"/>
      <c r="F55" s="62"/>
      <c r="G55" s="60"/>
      <c r="H55" s="61"/>
      <c r="I55" s="109"/>
      <c r="J55" s="56"/>
      <c r="K55" s="57"/>
      <c r="L55" s="62"/>
      <c r="M55" s="61"/>
      <c r="N55" s="58">
        <f>_11_A通院２６．５</f>
        <v>966</v>
      </c>
      <c r="O55" s="59"/>
    </row>
    <row r="56" spans="1:15" ht="16.5" customHeight="1" x14ac:dyDescent="0.2">
      <c r="A56" s="44">
        <v>16</v>
      </c>
      <c r="B56" s="53">
        <v>7160</v>
      </c>
      <c r="C56" s="69" t="s">
        <v>1490</v>
      </c>
      <c r="D56" s="273"/>
      <c r="E56" s="274"/>
      <c r="F56" s="54"/>
      <c r="G56" s="49"/>
      <c r="H56" s="50"/>
      <c r="I56" s="145" t="s">
        <v>396</v>
      </c>
      <c r="J56" s="131" t="s">
        <v>397</v>
      </c>
      <c r="K56" s="140">
        <v>1</v>
      </c>
      <c r="L56" s="47"/>
      <c r="N56" s="58">
        <f>ROUND((_11_A通院２６．５*_11・２人),0)</f>
        <v>966</v>
      </c>
      <c r="O56" s="59"/>
    </row>
    <row r="57" spans="1:15" ht="16.5" customHeight="1" x14ac:dyDescent="0.2">
      <c r="A57" s="44">
        <v>16</v>
      </c>
      <c r="B57" s="53">
        <v>7161</v>
      </c>
      <c r="C57" s="69" t="s">
        <v>1491</v>
      </c>
      <c r="D57" s="273"/>
      <c r="E57" s="274"/>
      <c r="F57" s="275" t="s">
        <v>398</v>
      </c>
      <c r="G57" s="132" t="s">
        <v>397</v>
      </c>
      <c r="H57" s="61">
        <v>0.9</v>
      </c>
      <c r="I57" s="109"/>
      <c r="J57" s="56"/>
      <c r="K57" s="57"/>
      <c r="L57" s="47"/>
      <c r="N57" s="58">
        <f>ROUND((_11_A通院２６．５*_11・基礎２),0)</f>
        <v>869</v>
      </c>
      <c r="O57" s="59"/>
    </row>
    <row r="58" spans="1:15" ht="16.5" customHeight="1" x14ac:dyDescent="0.2">
      <c r="A58" s="44">
        <v>16</v>
      </c>
      <c r="B58" s="53">
        <v>7162</v>
      </c>
      <c r="C58" s="69" t="s">
        <v>1492</v>
      </c>
      <c r="D58" s="142">
        <f>_11_A通院２６．５</f>
        <v>966</v>
      </c>
      <c r="E58" s="23" t="s">
        <v>394</v>
      </c>
      <c r="F58" s="276"/>
      <c r="G58" s="49"/>
      <c r="H58" s="50"/>
      <c r="I58" s="145" t="s">
        <v>396</v>
      </c>
      <c r="J58" s="131" t="s">
        <v>397</v>
      </c>
      <c r="K58" s="140">
        <v>1</v>
      </c>
      <c r="L58" s="47"/>
      <c r="N58" s="58">
        <f>ROUND((ROUND((_11_A通院２６．５*_11・基礎２),0)*_11・２人),0)</f>
        <v>869</v>
      </c>
      <c r="O58" s="59"/>
    </row>
    <row r="59" spans="1:15" ht="16.5" customHeight="1" x14ac:dyDescent="0.2">
      <c r="A59" s="44">
        <v>16</v>
      </c>
      <c r="B59" s="53">
        <v>7163</v>
      </c>
      <c r="C59" s="69" t="s">
        <v>1493</v>
      </c>
      <c r="D59" s="243" t="s">
        <v>1935</v>
      </c>
      <c r="E59" s="272"/>
      <c r="F59" s="62"/>
      <c r="G59" s="60"/>
      <c r="H59" s="61"/>
      <c r="I59" s="109"/>
      <c r="J59" s="56"/>
      <c r="K59" s="57"/>
      <c r="L59" s="62"/>
      <c r="M59" s="61"/>
      <c r="N59" s="58">
        <f>_11_A通院２７．０</f>
        <v>1035</v>
      </c>
      <c r="O59" s="59"/>
    </row>
    <row r="60" spans="1:15" ht="16.5" customHeight="1" x14ac:dyDescent="0.2">
      <c r="A60" s="44">
        <v>16</v>
      </c>
      <c r="B60" s="53">
        <v>7164</v>
      </c>
      <c r="C60" s="69" t="s">
        <v>1494</v>
      </c>
      <c r="D60" s="273"/>
      <c r="E60" s="274"/>
      <c r="F60" s="54"/>
      <c r="G60" s="49"/>
      <c r="H60" s="50"/>
      <c r="I60" s="145" t="s">
        <v>396</v>
      </c>
      <c r="J60" s="131" t="s">
        <v>397</v>
      </c>
      <c r="K60" s="140">
        <v>1</v>
      </c>
      <c r="L60" s="47"/>
      <c r="N60" s="58">
        <f>ROUND((_11_A通院２７．０*_11・２人),0)</f>
        <v>1035</v>
      </c>
      <c r="O60" s="59"/>
    </row>
    <row r="61" spans="1:15" ht="16.5" customHeight="1" x14ac:dyDescent="0.2">
      <c r="A61" s="44">
        <v>16</v>
      </c>
      <c r="B61" s="53">
        <v>7165</v>
      </c>
      <c r="C61" s="69" t="s">
        <v>1495</v>
      </c>
      <c r="D61" s="273"/>
      <c r="E61" s="274"/>
      <c r="F61" s="275" t="s">
        <v>398</v>
      </c>
      <c r="G61" s="132" t="s">
        <v>397</v>
      </c>
      <c r="H61" s="61">
        <v>0.9</v>
      </c>
      <c r="I61" s="109"/>
      <c r="J61" s="56"/>
      <c r="K61" s="57"/>
      <c r="L61" s="47"/>
      <c r="N61" s="58">
        <f>ROUND((_11_A通院２７．０*_11・基礎２),0)</f>
        <v>932</v>
      </c>
      <c r="O61" s="59"/>
    </row>
    <row r="62" spans="1:15" ht="16.5" customHeight="1" x14ac:dyDescent="0.2">
      <c r="A62" s="44">
        <v>16</v>
      </c>
      <c r="B62" s="53">
        <v>7166</v>
      </c>
      <c r="C62" s="69" t="s">
        <v>1496</v>
      </c>
      <c r="D62" s="142">
        <f>_11_A通院２７．０</f>
        <v>1035</v>
      </c>
      <c r="E62" s="23" t="s">
        <v>394</v>
      </c>
      <c r="F62" s="276"/>
      <c r="G62" s="49"/>
      <c r="H62" s="50"/>
      <c r="I62" s="145" t="s">
        <v>396</v>
      </c>
      <c r="J62" s="131" t="s">
        <v>397</v>
      </c>
      <c r="K62" s="140">
        <v>1</v>
      </c>
      <c r="L62" s="47"/>
      <c r="N62" s="58">
        <f>ROUND((ROUND((_11_A通院２７．０*_11・基礎２),0)*_11・２人),0)</f>
        <v>932</v>
      </c>
      <c r="O62" s="59"/>
    </row>
    <row r="63" spans="1:15" ht="16.5" customHeight="1" x14ac:dyDescent="0.2">
      <c r="A63" s="44">
        <v>16</v>
      </c>
      <c r="B63" s="53">
        <v>7167</v>
      </c>
      <c r="C63" s="69" t="s">
        <v>1497</v>
      </c>
      <c r="D63" s="243" t="s">
        <v>1936</v>
      </c>
      <c r="E63" s="272"/>
      <c r="F63" s="62"/>
      <c r="G63" s="60"/>
      <c r="H63" s="61"/>
      <c r="I63" s="109"/>
      <c r="J63" s="56"/>
      <c r="K63" s="57"/>
      <c r="L63" s="62"/>
      <c r="M63" s="61"/>
      <c r="N63" s="58">
        <f>_11_A通院２７．５</f>
        <v>1104</v>
      </c>
      <c r="O63" s="59"/>
    </row>
    <row r="64" spans="1:15" ht="16.5" customHeight="1" x14ac:dyDescent="0.2">
      <c r="A64" s="44">
        <v>16</v>
      </c>
      <c r="B64" s="53">
        <v>7168</v>
      </c>
      <c r="C64" s="69" t="s">
        <v>1498</v>
      </c>
      <c r="D64" s="273"/>
      <c r="E64" s="274"/>
      <c r="F64" s="54"/>
      <c r="G64" s="49"/>
      <c r="H64" s="50"/>
      <c r="I64" s="145" t="s">
        <v>396</v>
      </c>
      <c r="J64" s="131" t="s">
        <v>397</v>
      </c>
      <c r="K64" s="140">
        <v>1</v>
      </c>
      <c r="L64" s="47"/>
      <c r="N64" s="58">
        <f>ROUND((_11_A通院２７．５*_11・２人),0)</f>
        <v>1104</v>
      </c>
      <c r="O64" s="59"/>
    </row>
    <row r="65" spans="1:15" ht="16.5" customHeight="1" x14ac:dyDescent="0.2">
      <c r="A65" s="44">
        <v>16</v>
      </c>
      <c r="B65" s="53">
        <v>7169</v>
      </c>
      <c r="C65" s="69" t="s">
        <v>1499</v>
      </c>
      <c r="D65" s="273"/>
      <c r="E65" s="274"/>
      <c r="F65" s="275" t="s">
        <v>398</v>
      </c>
      <c r="G65" s="132" t="s">
        <v>397</v>
      </c>
      <c r="H65" s="61">
        <v>0.9</v>
      </c>
      <c r="I65" s="109"/>
      <c r="J65" s="56"/>
      <c r="K65" s="57"/>
      <c r="L65" s="47"/>
      <c r="N65" s="58">
        <f>ROUND((_11_A通院２７．５*_11・基礎２),0)</f>
        <v>994</v>
      </c>
      <c r="O65" s="59"/>
    </row>
    <row r="66" spans="1:15" ht="16.5" customHeight="1" x14ac:dyDescent="0.2">
      <c r="A66" s="44">
        <v>16</v>
      </c>
      <c r="B66" s="53">
        <v>7170</v>
      </c>
      <c r="C66" s="69" t="s">
        <v>1500</v>
      </c>
      <c r="D66" s="142">
        <f>_11_A通院２７．５</f>
        <v>1104</v>
      </c>
      <c r="E66" s="23" t="s">
        <v>394</v>
      </c>
      <c r="F66" s="276"/>
      <c r="G66" s="49"/>
      <c r="H66" s="50"/>
      <c r="I66" s="145" t="s">
        <v>396</v>
      </c>
      <c r="J66" s="131" t="s">
        <v>397</v>
      </c>
      <c r="K66" s="140">
        <v>1</v>
      </c>
      <c r="L66" s="47"/>
      <c r="N66" s="58">
        <f>ROUND((ROUND((_11_A通院２７．５*_11・基礎２),0)*_11・２人),0)</f>
        <v>994</v>
      </c>
      <c r="O66" s="59"/>
    </row>
    <row r="67" spans="1:15" ht="16.5" customHeight="1" x14ac:dyDescent="0.2">
      <c r="A67" s="44">
        <v>16</v>
      </c>
      <c r="B67" s="53">
        <v>7171</v>
      </c>
      <c r="C67" s="69" t="s">
        <v>1501</v>
      </c>
      <c r="D67" s="243" t="s">
        <v>1937</v>
      </c>
      <c r="E67" s="272"/>
      <c r="F67" s="62"/>
      <c r="G67" s="60"/>
      <c r="H67" s="61"/>
      <c r="I67" s="109"/>
      <c r="J67" s="56"/>
      <c r="K67" s="57"/>
      <c r="L67" s="62"/>
      <c r="M67" s="61"/>
      <c r="N67" s="58">
        <f>_11_A通院２８．０</f>
        <v>1173</v>
      </c>
      <c r="O67" s="59"/>
    </row>
    <row r="68" spans="1:15" ht="16.5" customHeight="1" x14ac:dyDescent="0.2">
      <c r="A68" s="44">
        <v>16</v>
      </c>
      <c r="B68" s="53">
        <v>7172</v>
      </c>
      <c r="C68" s="69" t="s">
        <v>1502</v>
      </c>
      <c r="D68" s="273"/>
      <c r="E68" s="274"/>
      <c r="F68" s="54"/>
      <c r="G68" s="49"/>
      <c r="H68" s="50"/>
      <c r="I68" s="145" t="s">
        <v>396</v>
      </c>
      <c r="J68" s="131" t="s">
        <v>397</v>
      </c>
      <c r="K68" s="140">
        <v>1</v>
      </c>
      <c r="L68" s="47"/>
      <c r="N68" s="58">
        <f>ROUND((_11_A通院２８．０*_11・２人),0)</f>
        <v>1173</v>
      </c>
      <c r="O68" s="59"/>
    </row>
    <row r="69" spans="1:15" ht="16.5" customHeight="1" x14ac:dyDescent="0.2">
      <c r="A69" s="44">
        <v>16</v>
      </c>
      <c r="B69" s="53">
        <v>7173</v>
      </c>
      <c r="C69" s="69" t="s">
        <v>1503</v>
      </c>
      <c r="D69" s="273"/>
      <c r="E69" s="274"/>
      <c r="F69" s="275" t="s">
        <v>398</v>
      </c>
      <c r="G69" s="132" t="s">
        <v>397</v>
      </c>
      <c r="H69" s="61">
        <v>0.9</v>
      </c>
      <c r="I69" s="109"/>
      <c r="J69" s="56"/>
      <c r="K69" s="57"/>
      <c r="L69" s="47"/>
      <c r="N69" s="58">
        <f>ROUND((_11_A通院２８．０*_11・基礎２),0)</f>
        <v>1056</v>
      </c>
      <c r="O69" s="59"/>
    </row>
    <row r="70" spans="1:15" ht="16.5" customHeight="1" x14ac:dyDescent="0.2">
      <c r="A70" s="44">
        <v>16</v>
      </c>
      <c r="B70" s="53">
        <v>7174</v>
      </c>
      <c r="C70" s="69" t="s">
        <v>1504</v>
      </c>
      <c r="D70" s="142">
        <f>_11_A通院２８．０</f>
        <v>1173</v>
      </c>
      <c r="E70" s="23" t="s">
        <v>394</v>
      </c>
      <c r="F70" s="276"/>
      <c r="G70" s="49"/>
      <c r="H70" s="50"/>
      <c r="I70" s="145" t="s">
        <v>396</v>
      </c>
      <c r="J70" s="131" t="s">
        <v>397</v>
      </c>
      <c r="K70" s="140">
        <v>1</v>
      </c>
      <c r="L70" s="47"/>
      <c r="N70" s="58">
        <f>ROUND((ROUND((_11_A通院２８．０*_11・基礎２),0)*_11・２人),0)</f>
        <v>1056</v>
      </c>
      <c r="O70" s="59"/>
    </row>
    <row r="71" spans="1:15" ht="16.5" customHeight="1" x14ac:dyDescent="0.2">
      <c r="A71" s="44">
        <v>16</v>
      </c>
      <c r="B71" s="53">
        <v>7175</v>
      </c>
      <c r="C71" s="69" t="s">
        <v>1505</v>
      </c>
      <c r="D71" s="243" t="s">
        <v>1938</v>
      </c>
      <c r="E71" s="272"/>
      <c r="F71" s="62"/>
      <c r="G71" s="60"/>
      <c r="H71" s="61"/>
      <c r="I71" s="109"/>
      <c r="J71" s="56"/>
      <c r="K71" s="57"/>
      <c r="L71" s="62"/>
      <c r="M71" s="61"/>
      <c r="N71" s="58">
        <f>_11_A通院２８．５</f>
        <v>1242</v>
      </c>
      <c r="O71" s="59"/>
    </row>
    <row r="72" spans="1:15" ht="16.5" customHeight="1" x14ac:dyDescent="0.2">
      <c r="A72" s="44">
        <v>16</v>
      </c>
      <c r="B72" s="53">
        <v>7176</v>
      </c>
      <c r="C72" s="69" t="s">
        <v>1506</v>
      </c>
      <c r="D72" s="273"/>
      <c r="E72" s="274"/>
      <c r="F72" s="54"/>
      <c r="G72" s="49"/>
      <c r="H72" s="50"/>
      <c r="I72" s="145" t="s">
        <v>396</v>
      </c>
      <c r="J72" s="131" t="s">
        <v>397</v>
      </c>
      <c r="K72" s="140">
        <v>1</v>
      </c>
      <c r="L72" s="47"/>
      <c r="N72" s="58">
        <f>ROUND((_11_A通院２８．５*_11・２人),0)</f>
        <v>1242</v>
      </c>
      <c r="O72" s="59"/>
    </row>
    <row r="73" spans="1:15" ht="16.5" customHeight="1" x14ac:dyDescent="0.2">
      <c r="A73" s="44">
        <v>16</v>
      </c>
      <c r="B73" s="53">
        <v>7177</v>
      </c>
      <c r="C73" s="69" t="s">
        <v>1507</v>
      </c>
      <c r="D73" s="273"/>
      <c r="E73" s="274"/>
      <c r="F73" s="275" t="s">
        <v>398</v>
      </c>
      <c r="G73" s="132" t="s">
        <v>397</v>
      </c>
      <c r="H73" s="61">
        <v>0.9</v>
      </c>
      <c r="I73" s="109"/>
      <c r="J73" s="56"/>
      <c r="K73" s="57"/>
      <c r="L73" s="47"/>
      <c r="N73" s="58">
        <f>ROUND((_11_A通院２８．５*_11・基礎２),0)</f>
        <v>1118</v>
      </c>
      <c r="O73" s="59"/>
    </row>
    <row r="74" spans="1:15" ht="16.5" customHeight="1" x14ac:dyDescent="0.2">
      <c r="A74" s="44">
        <v>16</v>
      </c>
      <c r="B74" s="53">
        <v>7178</v>
      </c>
      <c r="C74" s="69" t="s">
        <v>1508</v>
      </c>
      <c r="D74" s="142">
        <f>_11_A通院２８．５</f>
        <v>1242</v>
      </c>
      <c r="E74" s="23" t="s">
        <v>394</v>
      </c>
      <c r="F74" s="276"/>
      <c r="G74" s="49"/>
      <c r="H74" s="50"/>
      <c r="I74" s="145" t="s">
        <v>396</v>
      </c>
      <c r="J74" s="131" t="s">
        <v>397</v>
      </c>
      <c r="K74" s="140">
        <v>1</v>
      </c>
      <c r="L74" s="47"/>
      <c r="N74" s="58">
        <f>ROUND((ROUND((_11_A通院２８．５*_11・基礎２),0)*_11・２人),0)</f>
        <v>1118</v>
      </c>
      <c r="O74" s="59"/>
    </row>
    <row r="75" spans="1:15" ht="16.5" customHeight="1" x14ac:dyDescent="0.2">
      <c r="A75" s="44">
        <v>16</v>
      </c>
      <c r="B75" s="53">
        <v>7179</v>
      </c>
      <c r="C75" s="69" t="s">
        <v>1509</v>
      </c>
      <c r="D75" s="243" t="s">
        <v>1939</v>
      </c>
      <c r="E75" s="272"/>
      <c r="F75" s="62"/>
      <c r="G75" s="60"/>
      <c r="H75" s="61"/>
      <c r="I75" s="109"/>
      <c r="J75" s="56"/>
      <c r="K75" s="57"/>
      <c r="L75" s="62"/>
      <c r="M75" s="61"/>
      <c r="N75" s="58">
        <f>_11_A通院２９．０</f>
        <v>1311</v>
      </c>
      <c r="O75" s="59"/>
    </row>
    <row r="76" spans="1:15" ht="16.5" customHeight="1" x14ac:dyDescent="0.2">
      <c r="A76" s="44">
        <v>16</v>
      </c>
      <c r="B76" s="53">
        <v>7180</v>
      </c>
      <c r="C76" s="69" t="s">
        <v>1510</v>
      </c>
      <c r="D76" s="273"/>
      <c r="E76" s="274"/>
      <c r="F76" s="54"/>
      <c r="G76" s="49"/>
      <c r="H76" s="50"/>
      <c r="I76" s="145" t="s">
        <v>396</v>
      </c>
      <c r="J76" s="131" t="s">
        <v>397</v>
      </c>
      <c r="K76" s="140">
        <v>1</v>
      </c>
      <c r="L76" s="47"/>
      <c r="N76" s="58">
        <f>ROUND((_11_A通院２９．０*_11・２人),0)</f>
        <v>1311</v>
      </c>
      <c r="O76" s="59"/>
    </row>
    <row r="77" spans="1:15" ht="16.5" customHeight="1" x14ac:dyDescent="0.2">
      <c r="A77" s="44">
        <v>16</v>
      </c>
      <c r="B77" s="53">
        <v>7181</v>
      </c>
      <c r="C77" s="69" t="s">
        <v>1511</v>
      </c>
      <c r="D77" s="273"/>
      <c r="E77" s="274"/>
      <c r="F77" s="275" t="s">
        <v>398</v>
      </c>
      <c r="G77" s="132" t="s">
        <v>397</v>
      </c>
      <c r="H77" s="61">
        <v>0.9</v>
      </c>
      <c r="I77" s="109"/>
      <c r="J77" s="56"/>
      <c r="K77" s="57"/>
      <c r="L77" s="47"/>
      <c r="N77" s="58">
        <f>ROUND((_11_A通院２９．０*_11・基礎２),0)</f>
        <v>1180</v>
      </c>
      <c r="O77" s="59"/>
    </row>
    <row r="78" spans="1:15" ht="16.5" customHeight="1" x14ac:dyDescent="0.2">
      <c r="A78" s="44">
        <v>16</v>
      </c>
      <c r="B78" s="53">
        <v>7182</v>
      </c>
      <c r="C78" s="69" t="s">
        <v>1512</v>
      </c>
      <c r="D78" s="142">
        <f>_11_A通院２９．０</f>
        <v>1311</v>
      </c>
      <c r="E78" s="23" t="s">
        <v>394</v>
      </c>
      <c r="F78" s="276"/>
      <c r="G78" s="49"/>
      <c r="H78" s="50"/>
      <c r="I78" s="145" t="s">
        <v>396</v>
      </c>
      <c r="J78" s="131" t="s">
        <v>397</v>
      </c>
      <c r="K78" s="140">
        <v>1</v>
      </c>
      <c r="L78" s="47"/>
      <c r="N78" s="58">
        <f>ROUND((ROUND((_11_A通院２９．０*_11・基礎２),0)*_11・２人),0)</f>
        <v>1180</v>
      </c>
      <c r="O78" s="59"/>
    </row>
    <row r="79" spans="1:15" ht="16.5" customHeight="1" x14ac:dyDescent="0.2">
      <c r="A79" s="44">
        <v>16</v>
      </c>
      <c r="B79" s="44">
        <v>7183</v>
      </c>
      <c r="C79" s="45" t="s">
        <v>1513</v>
      </c>
      <c r="D79" s="245" t="s">
        <v>1940</v>
      </c>
      <c r="E79" s="274"/>
      <c r="F79" s="47"/>
      <c r="I79" s="54"/>
      <c r="J79" s="49"/>
      <c r="K79" s="50"/>
      <c r="L79" s="47"/>
      <c r="N79" s="51">
        <f>_11_A通院２９．５</f>
        <v>1380</v>
      </c>
      <c r="O79" s="183"/>
    </row>
    <row r="80" spans="1:15" ht="16.5" customHeight="1" x14ac:dyDescent="0.2">
      <c r="A80" s="44">
        <v>16</v>
      </c>
      <c r="B80" s="53">
        <v>7184</v>
      </c>
      <c r="C80" s="69" t="s">
        <v>1514</v>
      </c>
      <c r="D80" s="273"/>
      <c r="E80" s="274"/>
      <c r="F80" s="54"/>
      <c r="G80" s="49"/>
      <c r="H80" s="50"/>
      <c r="I80" s="145" t="s">
        <v>396</v>
      </c>
      <c r="J80" s="131" t="s">
        <v>397</v>
      </c>
      <c r="K80" s="140">
        <v>1</v>
      </c>
      <c r="L80" s="47"/>
      <c r="N80" s="58">
        <f>ROUND((_11_A通院２９．５*_11・２人),0)</f>
        <v>1380</v>
      </c>
      <c r="O80" s="52"/>
    </row>
    <row r="81" spans="1:15" ht="16.5" customHeight="1" x14ac:dyDescent="0.2">
      <c r="A81" s="44">
        <v>16</v>
      </c>
      <c r="B81" s="53">
        <v>7185</v>
      </c>
      <c r="C81" s="69" t="s">
        <v>1515</v>
      </c>
      <c r="D81" s="273"/>
      <c r="E81" s="274"/>
      <c r="F81" s="275" t="s">
        <v>398</v>
      </c>
      <c r="G81" s="132" t="s">
        <v>397</v>
      </c>
      <c r="H81" s="61">
        <v>0.9</v>
      </c>
      <c r="I81" s="109"/>
      <c r="J81" s="56"/>
      <c r="K81" s="57"/>
      <c r="L81" s="47"/>
      <c r="N81" s="58">
        <f>ROUND((_11_A通院２９．５*_11・基礎２),0)</f>
        <v>1242</v>
      </c>
      <c r="O81" s="59"/>
    </row>
    <row r="82" spans="1:15" ht="16.5" customHeight="1" x14ac:dyDescent="0.2">
      <c r="A82" s="44">
        <v>16</v>
      </c>
      <c r="B82" s="53">
        <v>7186</v>
      </c>
      <c r="C82" s="69" t="s">
        <v>1516</v>
      </c>
      <c r="D82" s="142">
        <f>_11_A通院２９．５</f>
        <v>1380</v>
      </c>
      <c r="E82" s="23" t="s">
        <v>394</v>
      </c>
      <c r="F82" s="276"/>
      <c r="G82" s="49"/>
      <c r="H82" s="50"/>
      <c r="I82" s="145" t="s">
        <v>396</v>
      </c>
      <c r="J82" s="131" t="s">
        <v>397</v>
      </c>
      <c r="K82" s="140">
        <v>1</v>
      </c>
      <c r="L82" s="47"/>
      <c r="N82" s="58">
        <f>ROUND((ROUND((_11_A通院２９．５*_11・基礎２),0)*_11・２人),0)</f>
        <v>1242</v>
      </c>
      <c r="O82" s="59"/>
    </row>
    <row r="83" spans="1:15" ht="16.5" customHeight="1" x14ac:dyDescent="0.2">
      <c r="A83" s="44">
        <v>16</v>
      </c>
      <c r="B83" s="53">
        <v>7187</v>
      </c>
      <c r="C83" s="69" t="s">
        <v>1517</v>
      </c>
      <c r="D83" s="243" t="s">
        <v>1941</v>
      </c>
      <c r="E83" s="272"/>
      <c r="F83" s="62"/>
      <c r="G83" s="60"/>
      <c r="H83" s="61"/>
      <c r="I83" s="109"/>
      <c r="J83" s="56"/>
      <c r="K83" s="57"/>
      <c r="L83" s="62"/>
      <c r="M83" s="61"/>
      <c r="N83" s="58">
        <f>_11_A通院２１０．０</f>
        <v>1449</v>
      </c>
      <c r="O83" s="59"/>
    </row>
    <row r="84" spans="1:15" ht="16.5" customHeight="1" x14ac:dyDescent="0.2">
      <c r="A84" s="44">
        <v>16</v>
      </c>
      <c r="B84" s="53">
        <v>7188</v>
      </c>
      <c r="C84" s="69" t="s">
        <v>1518</v>
      </c>
      <c r="D84" s="273"/>
      <c r="E84" s="274"/>
      <c r="F84" s="54"/>
      <c r="G84" s="49"/>
      <c r="H84" s="50"/>
      <c r="I84" s="145" t="s">
        <v>396</v>
      </c>
      <c r="J84" s="131" t="s">
        <v>397</v>
      </c>
      <c r="K84" s="140">
        <v>1</v>
      </c>
      <c r="L84" s="47"/>
      <c r="N84" s="58">
        <f>ROUND((_11_A通院２１０．０*_11・２人),0)</f>
        <v>1449</v>
      </c>
      <c r="O84" s="59"/>
    </row>
    <row r="85" spans="1:15" ht="16.5" customHeight="1" x14ac:dyDescent="0.2">
      <c r="A85" s="44">
        <v>16</v>
      </c>
      <c r="B85" s="53">
        <v>7189</v>
      </c>
      <c r="C85" s="69" t="s">
        <v>1519</v>
      </c>
      <c r="D85" s="273"/>
      <c r="E85" s="274"/>
      <c r="F85" s="275" t="s">
        <v>398</v>
      </c>
      <c r="G85" s="132" t="s">
        <v>397</v>
      </c>
      <c r="H85" s="61">
        <v>0.9</v>
      </c>
      <c r="I85" s="109"/>
      <c r="J85" s="56"/>
      <c r="K85" s="57"/>
      <c r="L85" s="47"/>
      <c r="N85" s="58">
        <f>ROUND((_11_A通院２１０．０*_11・基礎２),0)</f>
        <v>1304</v>
      </c>
      <c r="O85" s="59"/>
    </row>
    <row r="86" spans="1:15" ht="16.5" customHeight="1" x14ac:dyDescent="0.2">
      <c r="A86" s="44">
        <v>16</v>
      </c>
      <c r="B86" s="53">
        <v>7190</v>
      </c>
      <c r="C86" s="69" t="s">
        <v>1520</v>
      </c>
      <c r="D86" s="142">
        <f>_11_A通院２１０．０</f>
        <v>1449</v>
      </c>
      <c r="E86" s="23" t="s">
        <v>394</v>
      </c>
      <c r="F86" s="276"/>
      <c r="G86" s="49"/>
      <c r="H86" s="50"/>
      <c r="I86" s="145" t="s">
        <v>396</v>
      </c>
      <c r="J86" s="131" t="s">
        <v>397</v>
      </c>
      <c r="K86" s="140">
        <v>1</v>
      </c>
      <c r="L86" s="47"/>
      <c r="N86" s="58">
        <f>ROUND((ROUND((_11_A通院２１０．０*_11・基礎２),0)*_11・２人),0)</f>
        <v>1304</v>
      </c>
      <c r="O86" s="59"/>
    </row>
    <row r="87" spans="1:15" ht="16.5" customHeight="1" x14ac:dyDescent="0.2">
      <c r="A87" s="44">
        <v>16</v>
      </c>
      <c r="B87" s="53">
        <v>7191</v>
      </c>
      <c r="C87" s="69" t="s">
        <v>1521</v>
      </c>
      <c r="D87" s="243" t="s">
        <v>1942</v>
      </c>
      <c r="E87" s="272"/>
      <c r="F87" s="62"/>
      <c r="G87" s="60"/>
      <c r="H87" s="61"/>
      <c r="I87" s="109"/>
      <c r="J87" s="56"/>
      <c r="K87" s="57"/>
      <c r="L87" s="62"/>
      <c r="M87" s="61"/>
      <c r="N87" s="58">
        <f>_11_A通院２１０．５</f>
        <v>1518</v>
      </c>
      <c r="O87" s="59"/>
    </row>
    <row r="88" spans="1:15" ht="16.5" customHeight="1" x14ac:dyDescent="0.2">
      <c r="A88" s="44">
        <v>16</v>
      </c>
      <c r="B88" s="53">
        <v>7192</v>
      </c>
      <c r="C88" s="69" t="s">
        <v>1522</v>
      </c>
      <c r="D88" s="273"/>
      <c r="E88" s="274"/>
      <c r="F88" s="54"/>
      <c r="G88" s="49"/>
      <c r="H88" s="50"/>
      <c r="I88" s="145" t="s">
        <v>396</v>
      </c>
      <c r="J88" s="131" t="s">
        <v>397</v>
      </c>
      <c r="K88" s="140">
        <v>1</v>
      </c>
      <c r="L88" s="47"/>
      <c r="M88" s="176"/>
      <c r="N88" s="58">
        <f>ROUND((_11_A通院２１０．５*_11・２人),0)</f>
        <v>1518</v>
      </c>
      <c r="O88" s="59"/>
    </row>
    <row r="89" spans="1:15" ht="16.5" customHeight="1" x14ac:dyDescent="0.2">
      <c r="A89" s="44">
        <v>16</v>
      </c>
      <c r="B89" s="53">
        <v>7193</v>
      </c>
      <c r="C89" s="69" t="s">
        <v>1523</v>
      </c>
      <c r="D89" s="273"/>
      <c r="E89" s="274"/>
      <c r="F89" s="275" t="s">
        <v>398</v>
      </c>
      <c r="G89" s="132" t="s">
        <v>397</v>
      </c>
      <c r="H89" s="61">
        <v>0.9</v>
      </c>
      <c r="I89" s="109"/>
      <c r="J89" s="56"/>
      <c r="K89" s="57"/>
      <c r="L89" s="47"/>
      <c r="M89" s="176"/>
      <c r="N89" s="58">
        <f>ROUND((_11_A通院２１０．５*_11・基礎２),0)</f>
        <v>1366</v>
      </c>
      <c r="O89" s="59"/>
    </row>
    <row r="90" spans="1:15" ht="16.5" customHeight="1" x14ac:dyDescent="0.2">
      <c r="A90" s="44">
        <v>16</v>
      </c>
      <c r="B90" s="53">
        <v>7194</v>
      </c>
      <c r="C90" s="69" t="s">
        <v>1524</v>
      </c>
      <c r="D90" s="143">
        <f>_11_A通院２１０．５</f>
        <v>1518</v>
      </c>
      <c r="E90" s="177" t="s">
        <v>394</v>
      </c>
      <c r="F90" s="276"/>
      <c r="G90" s="49"/>
      <c r="H90" s="50"/>
      <c r="I90" s="145" t="s">
        <v>396</v>
      </c>
      <c r="J90" s="131" t="s">
        <v>397</v>
      </c>
      <c r="K90" s="140">
        <v>1</v>
      </c>
      <c r="L90" s="54"/>
      <c r="M90" s="50"/>
      <c r="N90" s="58">
        <f>ROUND((ROUND((_11_A通院２１０．５*_11・基礎２),0)*_11・２人),0)</f>
        <v>1366</v>
      </c>
      <c r="O90" s="111"/>
    </row>
    <row r="91" spans="1:15" ht="16.5" customHeight="1" x14ac:dyDescent="0.2"/>
    <row r="92" spans="1:15" ht="16.5" customHeight="1" x14ac:dyDescent="0.2"/>
  </sheetData>
  <mergeCells count="42">
    <mergeCell ref="D15:E17"/>
    <mergeCell ref="F17:F18"/>
    <mergeCell ref="D7:E9"/>
    <mergeCell ref="F9:F10"/>
    <mergeCell ref="D11:E13"/>
    <mergeCell ref="F13:F14"/>
    <mergeCell ref="D27:E29"/>
    <mergeCell ref="F29:F30"/>
    <mergeCell ref="D19:E21"/>
    <mergeCell ref="F21:F22"/>
    <mergeCell ref="D23:E25"/>
    <mergeCell ref="F25:F26"/>
    <mergeCell ref="D39:E41"/>
    <mergeCell ref="F41:F42"/>
    <mergeCell ref="D31:E33"/>
    <mergeCell ref="F33:F34"/>
    <mergeCell ref="D35:E37"/>
    <mergeCell ref="F37:F38"/>
    <mergeCell ref="D51:E53"/>
    <mergeCell ref="F53:F54"/>
    <mergeCell ref="D43:E45"/>
    <mergeCell ref="F45:F46"/>
    <mergeCell ref="D47:E49"/>
    <mergeCell ref="F49:F50"/>
    <mergeCell ref="D63:E65"/>
    <mergeCell ref="F65:F66"/>
    <mergeCell ref="D55:E57"/>
    <mergeCell ref="F57:F58"/>
    <mergeCell ref="D59:E61"/>
    <mergeCell ref="F61:F62"/>
    <mergeCell ref="D75:E77"/>
    <mergeCell ref="F77:F78"/>
    <mergeCell ref="D67:E69"/>
    <mergeCell ref="F69:F70"/>
    <mergeCell ref="D71:E73"/>
    <mergeCell ref="F73:F74"/>
    <mergeCell ref="D87:E89"/>
    <mergeCell ref="F89:F90"/>
    <mergeCell ref="D79:E81"/>
    <mergeCell ref="F81:F82"/>
    <mergeCell ref="D83:E85"/>
    <mergeCell ref="F85:F8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92"/>
  <sheetViews>
    <sheetView tabSelected="1" workbookViewId="0"/>
  </sheetViews>
  <sheetFormatPr defaultColWidth="8.90625" defaultRowHeight="14" x14ac:dyDescent="0.2"/>
  <cols>
    <col min="1" max="1" width="4.6328125" style="22" customWidth="1"/>
    <col min="2" max="2" width="7.6328125" style="22" customWidth="1"/>
    <col min="3" max="3" width="33" style="23" bestFit="1" customWidth="1"/>
    <col min="4" max="4" width="6" style="23" bestFit="1" customWidth="1"/>
    <col min="5" max="5" width="5.36328125" style="90" bestFit="1" customWidth="1"/>
    <col min="6" max="6" width="11.90625" style="25" customWidth="1"/>
    <col min="7" max="7" width="3.453125" style="25" bestFit="1" customWidth="1"/>
    <col min="8" max="8" width="4.453125" style="26" bestFit="1" customWidth="1"/>
    <col min="9" max="9" width="24.90625" style="27" bestFit="1" customWidth="1"/>
    <col min="10" max="10" width="3.453125" style="25" bestFit="1" customWidth="1"/>
    <col min="11" max="11" width="5.453125" style="26" bestFit="1" customWidth="1"/>
    <col min="12" max="12" width="9.90625" style="25" customWidth="1"/>
    <col min="13" max="13" width="4.453125" style="25" bestFit="1" customWidth="1"/>
    <col min="14" max="14" width="7.08984375" style="28" customWidth="1"/>
    <col min="15" max="15" width="8.6328125" style="29" customWidth="1"/>
    <col min="16" max="16384" width="8.90625" style="25"/>
  </cols>
  <sheetData>
    <row r="1" spans="1:15" ht="17.149999999999999" customHeight="1" x14ac:dyDescent="0.2">
      <c r="B1" s="172" t="s">
        <v>518</v>
      </c>
    </row>
    <row r="2" spans="1:15" ht="17.149999999999999" customHeight="1" x14ac:dyDescent="0.2"/>
    <row r="3" spans="1:15" ht="17.149999999999999" customHeight="1" x14ac:dyDescent="0.2"/>
    <row r="4" spans="1:15" ht="17.149999999999999" customHeight="1" x14ac:dyDescent="0.2">
      <c r="B4" s="30" t="s">
        <v>519</v>
      </c>
      <c r="D4" s="65"/>
    </row>
    <row r="5" spans="1:15" ht="16.5" customHeight="1" x14ac:dyDescent="0.2">
      <c r="A5" s="31" t="s">
        <v>386</v>
      </c>
      <c r="B5" s="32"/>
      <c r="C5" s="33" t="s">
        <v>387</v>
      </c>
      <c r="D5" s="34" t="s">
        <v>388</v>
      </c>
      <c r="E5" s="91"/>
      <c r="F5" s="34"/>
      <c r="G5" s="34"/>
      <c r="H5" s="35"/>
      <c r="I5" s="34"/>
      <c r="J5" s="34"/>
      <c r="K5" s="35"/>
      <c r="L5" s="34"/>
      <c r="M5" s="34"/>
      <c r="N5" s="36" t="s">
        <v>389</v>
      </c>
      <c r="O5" s="33" t="s">
        <v>390</v>
      </c>
    </row>
    <row r="6" spans="1:15" ht="16.5" customHeight="1" x14ac:dyDescent="0.2">
      <c r="A6" s="37" t="s">
        <v>391</v>
      </c>
      <c r="B6" s="37" t="s">
        <v>392</v>
      </c>
      <c r="C6" s="38"/>
      <c r="D6" s="40"/>
      <c r="E6" s="93"/>
      <c r="F6" s="40"/>
      <c r="G6" s="40"/>
      <c r="H6" s="41"/>
      <c r="I6" s="40"/>
      <c r="J6" s="40"/>
      <c r="K6" s="41"/>
      <c r="L6" s="40"/>
      <c r="M6" s="40"/>
      <c r="N6" s="42" t="s">
        <v>393</v>
      </c>
      <c r="O6" s="43" t="s">
        <v>394</v>
      </c>
    </row>
    <row r="7" spans="1:15" ht="16.5" customHeight="1" x14ac:dyDescent="0.2">
      <c r="A7" s="44">
        <v>16</v>
      </c>
      <c r="B7" s="44">
        <v>3111</v>
      </c>
      <c r="C7" s="45" t="s">
        <v>520</v>
      </c>
      <c r="D7" s="245" t="s">
        <v>1923</v>
      </c>
      <c r="E7" s="246"/>
      <c r="F7" s="47"/>
      <c r="I7" s="48"/>
      <c r="J7" s="49"/>
      <c r="K7" s="50"/>
      <c r="L7" s="47"/>
      <c r="N7" s="51">
        <f>_11_A通院１０．５</f>
        <v>256</v>
      </c>
      <c r="O7" s="52" t="s">
        <v>395</v>
      </c>
    </row>
    <row r="8" spans="1:15" ht="16.5" customHeight="1" x14ac:dyDescent="0.2">
      <c r="A8" s="44">
        <v>16</v>
      </c>
      <c r="B8" s="53">
        <v>3112</v>
      </c>
      <c r="C8" s="69" t="s">
        <v>521</v>
      </c>
      <c r="D8" s="245"/>
      <c r="E8" s="246"/>
      <c r="F8" s="54"/>
      <c r="G8" s="49"/>
      <c r="H8" s="50"/>
      <c r="I8" s="55" t="s">
        <v>396</v>
      </c>
      <c r="J8" s="56" t="s">
        <v>397</v>
      </c>
      <c r="K8" s="57">
        <v>1</v>
      </c>
      <c r="L8" s="47"/>
      <c r="N8" s="58">
        <f>ROUND((_11_A通院１０．５*_11・２人),0)</f>
        <v>256</v>
      </c>
      <c r="O8" s="59"/>
    </row>
    <row r="9" spans="1:15" ht="16.5" customHeight="1" x14ac:dyDescent="0.2">
      <c r="A9" s="44">
        <v>16</v>
      </c>
      <c r="B9" s="53">
        <v>3113</v>
      </c>
      <c r="C9" s="69" t="s">
        <v>522</v>
      </c>
      <c r="D9" s="245"/>
      <c r="E9" s="246"/>
      <c r="F9" s="241" t="s">
        <v>398</v>
      </c>
      <c r="G9" s="60" t="s">
        <v>397</v>
      </c>
      <c r="H9" s="61">
        <v>0.7</v>
      </c>
      <c r="I9" s="55"/>
      <c r="J9" s="56"/>
      <c r="K9" s="57"/>
      <c r="L9" s="47"/>
      <c r="N9" s="58">
        <f>ROUND((_11_A通院１０．５*_11・基礎１),0)</f>
        <v>179</v>
      </c>
      <c r="O9" s="59"/>
    </row>
    <row r="10" spans="1:15" ht="16.5" customHeight="1" x14ac:dyDescent="0.2">
      <c r="A10" s="44">
        <v>16</v>
      </c>
      <c r="B10" s="53">
        <v>3114</v>
      </c>
      <c r="C10" s="69" t="s">
        <v>523</v>
      </c>
      <c r="D10" s="84">
        <f>_11_A通院１０．５</f>
        <v>256</v>
      </c>
      <c r="E10" s="25" t="s">
        <v>394</v>
      </c>
      <c r="F10" s="242"/>
      <c r="G10" s="49"/>
      <c r="H10" s="50"/>
      <c r="I10" s="55" t="s">
        <v>396</v>
      </c>
      <c r="J10" s="56" t="s">
        <v>397</v>
      </c>
      <c r="K10" s="57">
        <v>1</v>
      </c>
      <c r="L10" s="54"/>
      <c r="M10" s="49"/>
      <c r="N10" s="58">
        <f>ROUND((ROUND((_11_A通院１０．５*_11・基礎１),0)*_11・２人),0)</f>
        <v>179</v>
      </c>
      <c r="O10" s="59"/>
    </row>
    <row r="11" spans="1:15" ht="16.5" customHeight="1" x14ac:dyDescent="0.2">
      <c r="A11" s="44">
        <v>16</v>
      </c>
      <c r="B11" s="53">
        <v>3115</v>
      </c>
      <c r="C11" s="69" t="s">
        <v>524</v>
      </c>
      <c r="D11" s="243" t="s">
        <v>1922</v>
      </c>
      <c r="E11" s="244"/>
      <c r="F11" s="62"/>
      <c r="G11" s="60"/>
      <c r="H11" s="61"/>
      <c r="I11" s="55"/>
      <c r="J11" s="56"/>
      <c r="K11" s="57"/>
      <c r="L11" s="62"/>
      <c r="M11" s="60"/>
      <c r="N11" s="58">
        <f>_11_A通院１１．０</f>
        <v>404</v>
      </c>
      <c r="O11" s="59"/>
    </row>
    <row r="12" spans="1:15" ht="16.5" customHeight="1" x14ac:dyDescent="0.2">
      <c r="A12" s="44">
        <v>16</v>
      </c>
      <c r="B12" s="53">
        <v>3116</v>
      </c>
      <c r="C12" s="69" t="s">
        <v>525</v>
      </c>
      <c r="D12" s="245"/>
      <c r="E12" s="246"/>
      <c r="F12" s="54"/>
      <c r="G12" s="49"/>
      <c r="H12" s="50"/>
      <c r="I12" s="55" t="s">
        <v>396</v>
      </c>
      <c r="J12" s="56" t="s">
        <v>397</v>
      </c>
      <c r="K12" s="57">
        <v>1</v>
      </c>
      <c r="L12" s="47"/>
      <c r="N12" s="58">
        <f>ROUND((_11_A通院１１．０*_11・２人),0)</f>
        <v>404</v>
      </c>
      <c r="O12" s="59"/>
    </row>
    <row r="13" spans="1:15" ht="16.5" customHeight="1" x14ac:dyDescent="0.2">
      <c r="A13" s="44">
        <v>16</v>
      </c>
      <c r="B13" s="53">
        <v>3117</v>
      </c>
      <c r="C13" s="69" t="s">
        <v>526</v>
      </c>
      <c r="D13" s="245"/>
      <c r="E13" s="246"/>
      <c r="F13" s="241" t="s">
        <v>398</v>
      </c>
      <c r="G13" s="60" t="s">
        <v>397</v>
      </c>
      <c r="H13" s="61">
        <v>0.7</v>
      </c>
      <c r="I13" s="55"/>
      <c r="J13" s="56"/>
      <c r="K13" s="57"/>
      <c r="L13" s="47"/>
      <c r="N13" s="58">
        <f>ROUND((_11_A通院１１．０*_11・基礎１),0)</f>
        <v>283</v>
      </c>
      <c r="O13" s="59"/>
    </row>
    <row r="14" spans="1:15" ht="16.5" customHeight="1" x14ac:dyDescent="0.2">
      <c r="A14" s="44">
        <v>16</v>
      </c>
      <c r="B14" s="53">
        <v>3118</v>
      </c>
      <c r="C14" s="69" t="s">
        <v>527</v>
      </c>
      <c r="D14" s="84">
        <f>_11_A通院１１．０</f>
        <v>404</v>
      </c>
      <c r="E14" s="83" t="s">
        <v>412</v>
      </c>
      <c r="F14" s="247"/>
      <c r="G14" s="49"/>
      <c r="H14" s="50"/>
      <c r="I14" s="55" t="s">
        <v>396</v>
      </c>
      <c r="J14" s="56" t="s">
        <v>397</v>
      </c>
      <c r="K14" s="57">
        <v>1</v>
      </c>
      <c r="L14" s="54"/>
      <c r="M14" s="49"/>
      <c r="N14" s="58">
        <f>ROUND((ROUND((_11_A通院１１．０*_11・基礎１),0)*_11・２人),0)</f>
        <v>283</v>
      </c>
      <c r="O14" s="59"/>
    </row>
    <row r="15" spans="1:15" ht="16.5" customHeight="1" x14ac:dyDescent="0.2">
      <c r="A15" s="44">
        <v>16</v>
      </c>
      <c r="B15" s="53">
        <v>3119</v>
      </c>
      <c r="C15" s="69" t="s">
        <v>528</v>
      </c>
      <c r="D15" s="243" t="s">
        <v>1924</v>
      </c>
      <c r="E15" s="244"/>
      <c r="F15" s="62"/>
      <c r="G15" s="60"/>
      <c r="H15" s="61"/>
      <c r="I15" s="55"/>
      <c r="J15" s="56"/>
      <c r="K15" s="57"/>
      <c r="L15" s="62"/>
      <c r="M15" s="60"/>
      <c r="N15" s="58">
        <f>_11_A通院１１．５</f>
        <v>587</v>
      </c>
      <c r="O15" s="59"/>
    </row>
    <row r="16" spans="1:15" ht="16.5" customHeight="1" x14ac:dyDescent="0.2">
      <c r="A16" s="44">
        <v>16</v>
      </c>
      <c r="B16" s="53">
        <v>3120</v>
      </c>
      <c r="C16" s="69" t="s">
        <v>529</v>
      </c>
      <c r="D16" s="245"/>
      <c r="E16" s="246"/>
      <c r="F16" s="54"/>
      <c r="G16" s="49"/>
      <c r="H16" s="50"/>
      <c r="I16" s="55" t="s">
        <v>396</v>
      </c>
      <c r="J16" s="56" t="s">
        <v>397</v>
      </c>
      <c r="K16" s="57">
        <v>1</v>
      </c>
      <c r="L16" s="47"/>
      <c r="N16" s="58">
        <f>ROUND((_11_A通院１１．５*_11・２人),0)</f>
        <v>587</v>
      </c>
      <c r="O16" s="59"/>
    </row>
    <row r="17" spans="1:15" ht="16.5" customHeight="1" x14ac:dyDescent="0.2">
      <c r="A17" s="44">
        <v>16</v>
      </c>
      <c r="B17" s="53">
        <v>3121</v>
      </c>
      <c r="C17" s="69" t="s">
        <v>530</v>
      </c>
      <c r="D17" s="245"/>
      <c r="E17" s="246"/>
      <c r="F17" s="241" t="s">
        <v>398</v>
      </c>
      <c r="G17" s="60" t="s">
        <v>397</v>
      </c>
      <c r="H17" s="61">
        <v>0.7</v>
      </c>
      <c r="I17" s="55"/>
      <c r="J17" s="56"/>
      <c r="K17" s="57"/>
      <c r="L17" s="47"/>
      <c r="N17" s="58">
        <f>ROUND((_11_A通院１１．５*_11・基礎１),0)</f>
        <v>411</v>
      </c>
      <c r="O17" s="59"/>
    </row>
    <row r="18" spans="1:15" ht="16.5" customHeight="1" x14ac:dyDescent="0.2">
      <c r="A18" s="44">
        <v>16</v>
      </c>
      <c r="B18" s="53">
        <v>3122</v>
      </c>
      <c r="C18" s="69" t="s">
        <v>531</v>
      </c>
      <c r="D18" s="84">
        <f>_11_A通院１１．５</f>
        <v>587</v>
      </c>
      <c r="E18" s="25" t="s">
        <v>394</v>
      </c>
      <c r="F18" s="242"/>
      <c r="G18" s="49"/>
      <c r="H18" s="50"/>
      <c r="I18" s="55" t="s">
        <v>396</v>
      </c>
      <c r="J18" s="56" t="s">
        <v>397</v>
      </c>
      <c r="K18" s="57">
        <v>1</v>
      </c>
      <c r="L18" s="54"/>
      <c r="M18" s="49"/>
      <c r="N18" s="58">
        <f>ROUND((ROUND((_11_A通院１１．５*_11・基礎１),0)*_11・２人),0)</f>
        <v>411</v>
      </c>
      <c r="O18" s="59"/>
    </row>
    <row r="19" spans="1:15" ht="16.5" customHeight="1" x14ac:dyDescent="0.2">
      <c r="A19" s="44">
        <v>16</v>
      </c>
      <c r="B19" s="53">
        <v>3123</v>
      </c>
      <c r="C19" s="69" t="s">
        <v>532</v>
      </c>
      <c r="D19" s="243" t="s">
        <v>1925</v>
      </c>
      <c r="E19" s="244"/>
      <c r="F19" s="62"/>
      <c r="G19" s="60"/>
      <c r="H19" s="61"/>
      <c r="I19" s="55"/>
      <c r="J19" s="56"/>
      <c r="K19" s="57"/>
      <c r="L19" s="62"/>
      <c r="M19" s="60"/>
      <c r="N19" s="58">
        <f>_11_A通院１２．０</f>
        <v>669</v>
      </c>
      <c r="O19" s="59"/>
    </row>
    <row r="20" spans="1:15" ht="16.5" customHeight="1" x14ac:dyDescent="0.2">
      <c r="A20" s="44">
        <v>16</v>
      </c>
      <c r="B20" s="53">
        <v>3124</v>
      </c>
      <c r="C20" s="69" t="s">
        <v>533</v>
      </c>
      <c r="D20" s="245"/>
      <c r="E20" s="246"/>
      <c r="F20" s="54"/>
      <c r="G20" s="49"/>
      <c r="H20" s="50"/>
      <c r="I20" s="55" t="s">
        <v>396</v>
      </c>
      <c r="J20" s="56" t="s">
        <v>397</v>
      </c>
      <c r="K20" s="57">
        <v>1</v>
      </c>
      <c r="L20" s="47"/>
      <c r="N20" s="58">
        <f>ROUND((_11_A通院１２．０*_11・２人),0)</f>
        <v>669</v>
      </c>
      <c r="O20" s="59"/>
    </row>
    <row r="21" spans="1:15" ht="16.5" customHeight="1" x14ac:dyDescent="0.2">
      <c r="A21" s="44">
        <v>16</v>
      </c>
      <c r="B21" s="53">
        <v>3125</v>
      </c>
      <c r="C21" s="69" t="s">
        <v>534</v>
      </c>
      <c r="D21" s="245"/>
      <c r="E21" s="246"/>
      <c r="F21" s="241" t="s">
        <v>398</v>
      </c>
      <c r="G21" s="60" t="s">
        <v>397</v>
      </c>
      <c r="H21" s="61">
        <v>0.7</v>
      </c>
      <c r="I21" s="55"/>
      <c r="J21" s="56"/>
      <c r="K21" s="57"/>
      <c r="L21" s="47"/>
      <c r="N21" s="58">
        <f>ROUND((_11_A通院１２．０*_11・基礎１),0)</f>
        <v>468</v>
      </c>
      <c r="O21" s="59"/>
    </row>
    <row r="22" spans="1:15" ht="16.5" customHeight="1" x14ac:dyDescent="0.2">
      <c r="A22" s="44">
        <v>16</v>
      </c>
      <c r="B22" s="53">
        <v>3126</v>
      </c>
      <c r="C22" s="69" t="s">
        <v>535</v>
      </c>
      <c r="D22" s="84">
        <f>_11_A通院１２．０</f>
        <v>669</v>
      </c>
      <c r="E22" s="25" t="s">
        <v>394</v>
      </c>
      <c r="F22" s="242"/>
      <c r="G22" s="49"/>
      <c r="H22" s="50"/>
      <c r="I22" s="55" t="s">
        <v>396</v>
      </c>
      <c r="J22" s="56" t="s">
        <v>397</v>
      </c>
      <c r="K22" s="57">
        <v>1</v>
      </c>
      <c r="L22" s="54"/>
      <c r="M22" s="49"/>
      <c r="N22" s="58">
        <f>ROUND((ROUND((_11_A通院１２．０*_11・基礎１),0)*_11・２人),0)</f>
        <v>468</v>
      </c>
      <c r="O22" s="59"/>
    </row>
    <row r="23" spans="1:15" ht="16.5" customHeight="1" x14ac:dyDescent="0.2">
      <c r="A23" s="44">
        <v>16</v>
      </c>
      <c r="B23" s="53">
        <v>3127</v>
      </c>
      <c r="C23" s="69" t="s">
        <v>536</v>
      </c>
      <c r="D23" s="243" t="s">
        <v>1926</v>
      </c>
      <c r="E23" s="244"/>
      <c r="F23" s="62"/>
      <c r="G23" s="60"/>
      <c r="H23" s="61"/>
      <c r="I23" s="55"/>
      <c r="J23" s="56"/>
      <c r="K23" s="57"/>
      <c r="L23" s="62"/>
      <c r="M23" s="60"/>
      <c r="N23" s="58">
        <f>_11_A通院１２．５</f>
        <v>754</v>
      </c>
      <c r="O23" s="59"/>
    </row>
    <row r="24" spans="1:15" ht="16.5" customHeight="1" x14ac:dyDescent="0.2">
      <c r="A24" s="44">
        <v>16</v>
      </c>
      <c r="B24" s="53">
        <v>3128</v>
      </c>
      <c r="C24" s="69" t="s">
        <v>537</v>
      </c>
      <c r="D24" s="245"/>
      <c r="E24" s="246"/>
      <c r="F24" s="54"/>
      <c r="G24" s="49"/>
      <c r="H24" s="50"/>
      <c r="I24" s="55" t="s">
        <v>396</v>
      </c>
      <c r="J24" s="56" t="s">
        <v>397</v>
      </c>
      <c r="K24" s="57">
        <v>1</v>
      </c>
      <c r="L24" s="47"/>
      <c r="N24" s="58">
        <f>ROUND((_11_A通院１２．５*_11・２人),0)</f>
        <v>754</v>
      </c>
      <c r="O24" s="59"/>
    </row>
    <row r="25" spans="1:15" ht="16.5" customHeight="1" x14ac:dyDescent="0.2">
      <c r="A25" s="44">
        <v>16</v>
      </c>
      <c r="B25" s="53">
        <v>3129</v>
      </c>
      <c r="C25" s="69" t="s">
        <v>538</v>
      </c>
      <c r="D25" s="245"/>
      <c r="E25" s="246"/>
      <c r="F25" s="241" t="s">
        <v>398</v>
      </c>
      <c r="G25" s="60" t="s">
        <v>397</v>
      </c>
      <c r="H25" s="61">
        <v>0.7</v>
      </c>
      <c r="I25" s="55"/>
      <c r="J25" s="56"/>
      <c r="K25" s="57"/>
      <c r="L25" s="47"/>
      <c r="N25" s="58">
        <f>ROUND((_11_A通院１２．５*_11・基礎１),0)</f>
        <v>528</v>
      </c>
      <c r="O25" s="59"/>
    </row>
    <row r="26" spans="1:15" ht="16.5" customHeight="1" x14ac:dyDescent="0.2">
      <c r="A26" s="44">
        <v>16</v>
      </c>
      <c r="B26" s="53">
        <v>3130</v>
      </c>
      <c r="C26" s="69" t="s">
        <v>539</v>
      </c>
      <c r="D26" s="84">
        <f>_11_A通院１２．５</f>
        <v>754</v>
      </c>
      <c r="E26" s="25" t="s">
        <v>394</v>
      </c>
      <c r="F26" s="242"/>
      <c r="G26" s="49"/>
      <c r="H26" s="50"/>
      <c r="I26" s="55" t="s">
        <v>396</v>
      </c>
      <c r="J26" s="56" t="s">
        <v>397</v>
      </c>
      <c r="K26" s="57">
        <v>1</v>
      </c>
      <c r="L26" s="54"/>
      <c r="M26" s="49"/>
      <c r="N26" s="58">
        <f>ROUND((ROUND((_11_A通院１２．５*_11・基礎１),0)*_11・２人),0)</f>
        <v>528</v>
      </c>
      <c r="O26" s="59"/>
    </row>
    <row r="27" spans="1:15" ht="16.5" customHeight="1" x14ac:dyDescent="0.2">
      <c r="A27" s="44">
        <v>16</v>
      </c>
      <c r="B27" s="53">
        <v>3131</v>
      </c>
      <c r="C27" s="69" t="s">
        <v>540</v>
      </c>
      <c r="D27" s="243" t="s">
        <v>1927</v>
      </c>
      <c r="E27" s="244"/>
      <c r="F27" s="62"/>
      <c r="G27" s="60"/>
      <c r="H27" s="61"/>
      <c r="I27" s="55"/>
      <c r="J27" s="56"/>
      <c r="K27" s="57"/>
      <c r="L27" s="62"/>
      <c r="M27" s="60"/>
      <c r="N27" s="58">
        <f>_11_A通院１３．０</f>
        <v>837</v>
      </c>
      <c r="O27" s="59"/>
    </row>
    <row r="28" spans="1:15" ht="16.5" customHeight="1" x14ac:dyDescent="0.2">
      <c r="A28" s="44">
        <v>16</v>
      </c>
      <c r="B28" s="53">
        <v>3132</v>
      </c>
      <c r="C28" s="69" t="s">
        <v>541</v>
      </c>
      <c r="D28" s="245"/>
      <c r="E28" s="246"/>
      <c r="F28" s="54"/>
      <c r="G28" s="49"/>
      <c r="H28" s="50"/>
      <c r="I28" s="55" t="s">
        <v>396</v>
      </c>
      <c r="J28" s="56" t="s">
        <v>397</v>
      </c>
      <c r="K28" s="57">
        <v>1</v>
      </c>
      <c r="L28" s="47"/>
      <c r="N28" s="58">
        <f>ROUND((_11_A通院１３．０*_11・２人),0)</f>
        <v>837</v>
      </c>
      <c r="O28" s="59"/>
    </row>
    <row r="29" spans="1:15" ht="16.5" customHeight="1" x14ac:dyDescent="0.2">
      <c r="A29" s="44">
        <v>16</v>
      </c>
      <c r="B29" s="53">
        <v>3133</v>
      </c>
      <c r="C29" s="69" t="s">
        <v>542</v>
      </c>
      <c r="D29" s="245"/>
      <c r="E29" s="246"/>
      <c r="F29" s="241" t="s">
        <v>398</v>
      </c>
      <c r="G29" s="60" t="s">
        <v>397</v>
      </c>
      <c r="H29" s="61">
        <v>0.7</v>
      </c>
      <c r="I29" s="55"/>
      <c r="J29" s="56"/>
      <c r="K29" s="57"/>
      <c r="L29" s="47"/>
      <c r="N29" s="58">
        <f>ROUND((_11_A通院１３．０*_11・基礎１),0)</f>
        <v>586</v>
      </c>
      <c r="O29" s="59"/>
    </row>
    <row r="30" spans="1:15" ht="16.5" customHeight="1" x14ac:dyDescent="0.2">
      <c r="A30" s="44">
        <v>16</v>
      </c>
      <c r="B30" s="53">
        <v>3134</v>
      </c>
      <c r="C30" s="69" t="s">
        <v>543</v>
      </c>
      <c r="D30" s="84">
        <f>_11_A通院１３．０</f>
        <v>837</v>
      </c>
      <c r="E30" s="25" t="s">
        <v>394</v>
      </c>
      <c r="F30" s="242"/>
      <c r="G30" s="49"/>
      <c r="H30" s="50"/>
      <c r="I30" s="55" t="s">
        <v>396</v>
      </c>
      <c r="J30" s="56" t="s">
        <v>397</v>
      </c>
      <c r="K30" s="57">
        <v>1</v>
      </c>
      <c r="L30" s="54"/>
      <c r="M30" s="49"/>
      <c r="N30" s="58">
        <f>ROUND((ROUND((_11_A通院１３．０*_11・基礎１),0)*_11・２人),0)</f>
        <v>586</v>
      </c>
      <c r="O30" s="59"/>
    </row>
    <row r="31" spans="1:15" ht="16.5" customHeight="1" x14ac:dyDescent="0.2">
      <c r="A31" s="44">
        <v>16</v>
      </c>
      <c r="B31" s="53">
        <v>3135</v>
      </c>
      <c r="C31" s="69" t="s">
        <v>544</v>
      </c>
      <c r="D31" s="243" t="s">
        <v>1928</v>
      </c>
      <c r="E31" s="244"/>
      <c r="F31" s="62"/>
      <c r="G31" s="60"/>
      <c r="H31" s="61"/>
      <c r="I31" s="55"/>
      <c r="J31" s="56"/>
      <c r="K31" s="57"/>
      <c r="L31" s="62"/>
      <c r="M31" s="60"/>
      <c r="N31" s="58">
        <f>_11_A通院１３．５</f>
        <v>921</v>
      </c>
      <c r="O31" s="59"/>
    </row>
    <row r="32" spans="1:15" ht="16.5" customHeight="1" x14ac:dyDescent="0.2">
      <c r="A32" s="44">
        <v>16</v>
      </c>
      <c r="B32" s="53">
        <v>3136</v>
      </c>
      <c r="C32" s="69" t="s">
        <v>545</v>
      </c>
      <c r="D32" s="245"/>
      <c r="E32" s="246"/>
      <c r="F32" s="54"/>
      <c r="G32" s="49"/>
      <c r="H32" s="50"/>
      <c r="I32" s="55" t="s">
        <v>396</v>
      </c>
      <c r="J32" s="56" t="s">
        <v>397</v>
      </c>
      <c r="K32" s="57">
        <v>1</v>
      </c>
      <c r="L32" s="47"/>
      <c r="N32" s="58">
        <f>ROUND((_11_A通院１３．５*_11・２人),0)</f>
        <v>921</v>
      </c>
      <c r="O32" s="59"/>
    </row>
    <row r="33" spans="1:15" ht="16.5" customHeight="1" x14ac:dyDescent="0.2">
      <c r="A33" s="44">
        <v>16</v>
      </c>
      <c r="B33" s="53">
        <v>3137</v>
      </c>
      <c r="C33" s="69" t="s">
        <v>546</v>
      </c>
      <c r="D33" s="245"/>
      <c r="E33" s="246"/>
      <c r="F33" s="241" t="s">
        <v>398</v>
      </c>
      <c r="G33" s="60" t="s">
        <v>397</v>
      </c>
      <c r="H33" s="61">
        <v>0.7</v>
      </c>
      <c r="I33" s="55"/>
      <c r="J33" s="56"/>
      <c r="K33" s="57"/>
      <c r="L33" s="47"/>
      <c r="N33" s="58">
        <f>ROUND((_11_A通院１３．５*_11・基礎１),0)</f>
        <v>645</v>
      </c>
      <c r="O33" s="59"/>
    </row>
    <row r="34" spans="1:15" ht="16.5" customHeight="1" x14ac:dyDescent="0.2">
      <c r="A34" s="44">
        <v>16</v>
      </c>
      <c r="B34" s="53">
        <v>3138</v>
      </c>
      <c r="C34" s="69" t="s">
        <v>547</v>
      </c>
      <c r="D34" s="84">
        <f>_11_A通院１３．５</f>
        <v>921</v>
      </c>
      <c r="E34" s="25" t="s">
        <v>394</v>
      </c>
      <c r="F34" s="242"/>
      <c r="G34" s="49"/>
      <c r="H34" s="50"/>
      <c r="I34" s="55" t="s">
        <v>396</v>
      </c>
      <c r="J34" s="56" t="s">
        <v>397</v>
      </c>
      <c r="K34" s="57">
        <v>1</v>
      </c>
      <c r="L34" s="54"/>
      <c r="M34" s="49"/>
      <c r="N34" s="58">
        <f>ROUND((ROUND((_11_A通院１３．５*_11・基礎１),0)*_11・２人),0)</f>
        <v>645</v>
      </c>
      <c r="O34" s="59"/>
    </row>
    <row r="35" spans="1:15" ht="16.5" customHeight="1" x14ac:dyDescent="0.2">
      <c r="A35" s="44">
        <v>16</v>
      </c>
      <c r="B35" s="53">
        <v>3139</v>
      </c>
      <c r="C35" s="69" t="s">
        <v>548</v>
      </c>
      <c r="D35" s="243" t="s">
        <v>1929</v>
      </c>
      <c r="E35" s="244"/>
      <c r="F35" s="62"/>
      <c r="G35" s="60"/>
      <c r="H35" s="61"/>
      <c r="I35" s="55"/>
      <c r="J35" s="56"/>
      <c r="K35" s="57"/>
      <c r="L35" s="62"/>
      <c r="M35" s="60"/>
      <c r="N35" s="58">
        <f>_11_A通院１４．０</f>
        <v>1004</v>
      </c>
      <c r="O35" s="59"/>
    </row>
    <row r="36" spans="1:15" ht="16.5" customHeight="1" x14ac:dyDescent="0.2">
      <c r="A36" s="44">
        <v>16</v>
      </c>
      <c r="B36" s="53">
        <v>3140</v>
      </c>
      <c r="C36" s="69" t="s">
        <v>549</v>
      </c>
      <c r="D36" s="245"/>
      <c r="E36" s="246"/>
      <c r="F36" s="54"/>
      <c r="G36" s="49"/>
      <c r="H36" s="50"/>
      <c r="I36" s="55" t="s">
        <v>396</v>
      </c>
      <c r="J36" s="56" t="s">
        <v>397</v>
      </c>
      <c r="K36" s="57">
        <v>1</v>
      </c>
      <c r="L36" s="47"/>
      <c r="N36" s="58">
        <f>ROUND((_11_A通院１４．０*_11・２人),0)</f>
        <v>1004</v>
      </c>
      <c r="O36" s="59"/>
    </row>
    <row r="37" spans="1:15" ht="16.5" customHeight="1" x14ac:dyDescent="0.2">
      <c r="A37" s="44">
        <v>16</v>
      </c>
      <c r="B37" s="53">
        <v>3141</v>
      </c>
      <c r="C37" s="69" t="s">
        <v>550</v>
      </c>
      <c r="D37" s="245"/>
      <c r="E37" s="246"/>
      <c r="F37" s="241" t="s">
        <v>398</v>
      </c>
      <c r="G37" s="60" t="s">
        <v>397</v>
      </c>
      <c r="H37" s="61">
        <v>0.7</v>
      </c>
      <c r="I37" s="55"/>
      <c r="J37" s="56"/>
      <c r="K37" s="57"/>
      <c r="L37" s="47"/>
      <c r="N37" s="58">
        <f>ROUND((_11_A通院１４．０*_11・基礎１),0)</f>
        <v>703</v>
      </c>
      <c r="O37" s="59"/>
    </row>
    <row r="38" spans="1:15" ht="16.5" customHeight="1" x14ac:dyDescent="0.2">
      <c r="A38" s="44">
        <v>16</v>
      </c>
      <c r="B38" s="53">
        <v>3142</v>
      </c>
      <c r="C38" s="69" t="s">
        <v>551</v>
      </c>
      <c r="D38" s="84">
        <f>_11_A通院１４．０</f>
        <v>1004</v>
      </c>
      <c r="E38" s="25" t="s">
        <v>394</v>
      </c>
      <c r="F38" s="242"/>
      <c r="G38" s="49"/>
      <c r="H38" s="50"/>
      <c r="I38" s="55" t="s">
        <v>396</v>
      </c>
      <c r="J38" s="56" t="s">
        <v>397</v>
      </c>
      <c r="K38" s="57">
        <v>1</v>
      </c>
      <c r="L38" s="54"/>
      <c r="M38" s="49"/>
      <c r="N38" s="58">
        <f>ROUND((ROUND((_11_A通院１４．０*_11・基礎１),0)*_11・２人),0)</f>
        <v>703</v>
      </c>
      <c r="O38" s="59"/>
    </row>
    <row r="39" spans="1:15" ht="16.5" customHeight="1" x14ac:dyDescent="0.2">
      <c r="A39" s="44">
        <v>16</v>
      </c>
      <c r="B39" s="44">
        <v>3143</v>
      </c>
      <c r="C39" s="45" t="s">
        <v>552</v>
      </c>
      <c r="D39" s="245" t="s">
        <v>1930</v>
      </c>
      <c r="E39" s="246"/>
      <c r="F39" s="47"/>
      <c r="I39" s="48"/>
      <c r="J39" s="49"/>
      <c r="K39" s="50"/>
      <c r="L39" s="47"/>
      <c r="N39" s="51">
        <f>_11_A通院１４．５</f>
        <v>1087</v>
      </c>
      <c r="O39" s="52"/>
    </row>
    <row r="40" spans="1:15" ht="16.5" customHeight="1" x14ac:dyDescent="0.2">
      <c r="A40" s="44">
        <v>16</v>
      </c>
      <c r="B40" s="53">
        <v>3144</v>
      </c>
      <c r="C40" s="69" t="s">
        <v>553</v>
      </c>
      <c r="D40" s="245"/>
      <c r="E40" s="246"/>
      <c r="F40" s="54"/>
      <c r="G40" s="49"/>
      <c r="H40" s="50"/>
      <c r="I40" s="55" t="s">
        <v>396</v>
      </c>
      <c r="J40" s="56" t="s">
        <v>397</v>
      </c>
      <c r="K40" s="57">
        <v>1</v>
      </c>
      <c r="L40" s="47"/>
      <c r="N40" s="58">
        <f>ROUND((_11_A通院１４．５*_11・２人),0)</f>
        <v>1087</v>
      </c>
      <c r="O40" s="59"/>
    </row>
    <row r="41" spans="1:15" ht="16.5" customHeight="1" x14ac:dyDescent="0.2">
      <c r="A41" s="44">
        <v>16</v>
      </c>
      <c r="B41" s="53">
        <v>3145</v>
      </c>
      <c r="C41" s="69" t="s">
        <v>554</v>
      </c>
      <c r="D41" s="245"/>
      <c r="E41" s="246"/>
      <c r="F41" s="241" t="s">
        <v>398</v>
      </c>
      <c r="G41" s="60" t="s">
        <v>397</v>
      </c>
      <c r="H41" s="61">
        <v>0.7</v>
      </c>
      <c r="I41" s="55"/>
      <c r="J41" s="56"/>
      <c r="K41" s="57"/>
      <c r="L41" s="47"/>
      <c r="N41" s="58">
        <f>ROUND((_11_A通院１４．５*_11・基礎１),0)</f>
        <v>761</v>
      </c>
      <c r="O41" s="59"/>
    </row>
    <row r="42" spans="1:15" ht="16.5" customHeight="1" x14ac:dyDescent="0.2">
      <c r="A42" s="44">
        <v>16</v>
      </c>
      <c r="B42" s="53">
        <v>3146</v>
      </c>
      <c r="C42" s="69" t="s">
        <v>555</v>
      </c>
      <c r="D42" s="84">
        <f>_11_A通院１４．５</f>
        <v>1087</v>
      </c>
      <c r="E42" s="25" t="s">
        <v>394</v>
      </c>
      <c r="F42" s="242"/>
      <c r="G42" s="49"/>
      <c r="H42" s="50"/>
      <c r="I42" s="55" t="s">
        <v>396</v>
      </c>
      <c r="J42" s="56" t="s">
        <v>397</v>
      </c>
      <c r="K42" s="57">
        <v>1</v>
      </c>
      <c r="L42" s="54"/>
      <c r="M42" s="49"/>
      <c r="N42" s="58">
        <f>ROUND((ROUND((_11_A通院１４．５*_11・基礎１),0)*_11・２人),0)</f>
        <v>761</v>
      </c>
      <c r="O42" s="59"/>
    </row>
    <row r="43" spans="1:15" ht="16.5" customHeight="1" x14ac:dyDescent="0.2">
      <c r="A43" s="44">
        <v>16</v>
      </c>
      <c r="B43" s="53">
        <v>3147</v>
      </c>
      <c r="C43" s="69" t="s">
        <v>556</v>
      </c>
      <c r="D43" s="243" t="s">
        <v>1931</v>
      </c>
      <c r="E43" s="244"/>
      <c r="F43" s="62"/>
      <c r="G43" s="60"/>
      <c r="H43" s="61"/>
      <c r="I43" s="55"/>
      <c r="J43" s="56"/>
      <c r="K43" s="57"/>
      <c r="L43" s="62"/>
      <c r="M43" s="60"/>
      <c r="N43" s="58">
        <f>_11_A通院１５．０</f>
        <v>1170</v>
      </c>
      <c r="O43" s="59"/>
    </row>
    <row r="44" spans="1:15" ht="16.5" customHeight="1" x14ac:dyDescent="0.2">
      <c r="A44" s="44">
        <v>16</v>
      </c>
      <c r="B44" s="53">
        <v>3148</v>
      </c>
      <c r="C44" s="69" t="s">
        <v>557</v>
      </c>
      <c r="D44" s="245"/>
      <c r="E44" s="246"/>
      <c r="F44" s="54"/>
      <c r="G44" s="49"/>
      <c r="H44" s="50"/>
      <c r="I44" s="55" t="s">
        <v>396</v>
      </c>
      <c r="J44" s="56" t="s">
        <v>397</v>
      </c>
      <c r="K44" s="57">
        <v>1</v>
      </c>
      <c r="L44" s="47"/>
      <c r="N44" s="58">
        <f>ROUND((_11_A通院１５．０*_11・２人),0)</f>
        <v>1170</v>
      </c>
      <c r="O44" s="59"/>
    </row>
    <row r="45" spans="1:15" ht="16.5" customHeight="1" x14ac:dyDescent="0.2">
      <c r="A45" s="44">
        <v>16</v>
      </c>
      <c r="B45" s="53">
        <v>3149</v>
      </c>
      <c r="C45" s="69" t="s">
        <v>558</v>
      </c>
      <c r="D45" s="245"/>
      <c r="E45" s="246"/>
      <c r="F45" s="241" t="s">
        <v>398</v>
      </c>
      <c r="G45" s="60" t="s">
        <v>397</v>
      </c>
      <c r="H45" s="61">
        <v>0.7</v>
      </c>
      <c r="I45" s="55"/>
      <c r="J45" s="56"/>
      <c r="K45" s="57"/>
      <c r="L45" s="47"/>
      <c r="N45" s="58">
        <f>ROUND((_11_A通院１５．０*_11・基礎１),0)</f>
        <v>819</v>
      </c>
      <c r="O45" s="59"/>
    </row>
    <row r="46" spans="1:15" ht="16.5" customHeight="1" x14ac:dyDescent="0.2">
      <c r="A46" s="44">
        <v>16</v>
      </c>
      <c r="B46" s="53">
        <v>3150</v>
      </c>
      <c r="C46" s="69" t="s">
        <v>559</v>
      </c>
      <c r="D46" s="84">
        <f>_11_A通院１５．０</f>
        <v>1170</v>
      </c>
      <c r="E46" s="25" t="s">
        <v>394</v>
      </c>
      <c r="F46" s="242"/>
      <c r="G46" s="49"/>
      <c r="H46" s="50"/>
      <c r="I46" s="55" t="s">
        <v>396</v>
      </c>
      <c r="J46" s="56" t="s">
        <v>397</v>
      </c>
      <c r="K46" s="57">
        <v>1</v>
      </c>
      <c r="L46" s="54"/>
      <c r="M46" s="49"/>
      <c r="N46" s="58">
        <f>ROUND((ROUND((_11_A通院１５．０*_11・基礎１),0)*_11・２人),0)</f>
        <v>819</v>
      </c>
      <c r="O46" s="59"/>
    </row>
    <row r="47" spans="1:15" ht="16.5" customHeight="1" x14ac:dyDescent="0.2">
      <c r="A47" s="44">
        <v>16</v>
      </c>
      <c r="B47" s="53">
        <v>3151</v>
      </c>
      <c r="C47" s="69" t="s">
        <v>560</v>
      </c>
      <c r="D47" s="243" t="s">
        <v>1932</v>
      </c>
      <c r="E47" s="244"/>
      <c r="F47" s="62"/>
      <c r="G47" s="60"/>
      <c r="H47" s="61"/>
      <c r="I47" s="55"/>
      <c r="J47" s="56"/>
      <c r="K47" s="57"/>
      <c r="L47" s="62"/>
      <c r="M47" s="60"/>
      <c r="N47" s="58">
        <f>_11_A通院１５．５</f>
        <v>1253</v>
      </c>
      <c r="O47" s="59"/>
    </row>
    <row r="48" spans="1:15" ht="16.5" customHeight="1" x14ac:dyDescent="0.2">
      <c r="A48" s="44">
        <v>16</v>
      </c>
      <c r="B48" s="53">
        <v>3152</v>
      </c>
      <c r="C48" s="69" t="s">
        <v>561</v>
      </c>
      <c r="D48" s="245"/>
      <c r="E48" s="246"/>
      <c r="F48" s="54"/>
      <c r="G48" s="49"/>
      <c r="H48" s="50"/>
      <c r="I48" s="55" t="s">
        <v>396</v>
      </c>
      <c r="J48" s="56" t="s">
        <v>397</v>
      </c>
      <c r="K48" s="57">
        <v>1</v>
      </c>
      <c r="L48" s="47"/>
      <c r="N48" s="58">
        <f>ROUND((_11_A通院１５．５*_11・２人),0)</f>
        <v>1253</v>
      </c>
      <c r="O48" s="59"/>
    </row>
    <row r="49" spans="1:15" ht="16.5" customHeight="1" x14ac:dyDescent="0.2">
      <c r="A49" s="44">
        <v>16</v>
      </c>
      <c r="B49" s="53">
        <v>3153</v>
      </c>
      <c r="C49" s="69" t="s">
        <v>562</v>
      </c>
      <c r="D49" s="245"/>
      <c r="E49" s="246"/>
      <c r="F49" s="241" t="s">
        <v>398</v>
      </c>
      <c r="G49" s="60" t="s">
        <v>397</v>
      </c>
      <c r="H49" s="61">
        <v>0.7</v>
      </c>
      <c r="I49" s="55"/>
      <c r="J49" s="56"/>
      <c r="K49" s="57"/>
      <c r="L49" s="47"/>
      <c r="N49" s="58">
        <f>ROUND((_11_A通院１５．５*_11・基礎１),0)</f>
        <v>877</v>
      </c>
      <c r="O49" s="59"/>
    </row>
    <row r="50" spans="1:15" ht="16.5" customHeight="1" x14ac:dyDescent="0.2">
      <c r="A50" s="44">
        <v>16</v>
      </c>
      <c r="B50" s="53">
        <v>3154</v>
      </c>
      <c r="C50" s="69" t="s">
        <v>563</v>
      </c>
      <c r="D50" s="84">
        <f>_11_A通院１５．５</f>
        <v>1253</v>
      </c>
      <c r="E50" s="25" t="s">
        <v>394</v>
      </c>
      <c r="F50" s="242"/>
      <c r="G50" s="49"/>
      <c r="H50" s="50"/>
      <c r="I50" s="55" t="s">
        <v>396</v>
      </c>
      <c r="J50" s="56" t="s">
        <v>397</v>
      </c>
      <c r="K50" s="57">
        <v>1</v>
      </c>
      <c r="L50" s="54"/>
      <c r="M50" s="49"/>
      <c r="N50" s="58">
        <f>ROUND((ROUND((_11_A通院１５．５*_11・基礎１),0)*_11・２人),0)</f>
        <v>877</v>
      </c>
      <c r="O50" s="59"/>
    </row>
    <row r="51" spans="1:15" ht="16.5" customHeight="1" x14ac:dyDescent="0.2">
      <c r="A51" s="44">
        <v>16</v>
      </c>
      <c r="B51" s="53">
        <v>3155</v>
      </c>
      <c r="C51" s="69" t="s">
        <v>564</v>
      </c>
      <c r="D51" s="243" t="s">
        <v>1933</v>
      </c>
      <c r="E51" s="244"/>
      <c r="F51" s="62"/>
      <c r="G51" s="60"/>
      <c r="H51" s="61"/>
      <c r="I51" s="55"/>
      <c r="J51" s="56"/>
      <c r="K51" s="57"/>
      <c r="L51" s="62"/>
      <c r="M51" s="60"/>
      <c r="N51" s="58">
        <f>_11_A通院１６．０</f>
        <v>1336</v>
      </c>
      <c r="O51" s="59"/>
    </row>
    <row r="52" spans="1:15" ht="16.5" customHeight="1" x14ac:dyDescent="0.2">
      <c r="A52" s="44">
        <v>16</v>
      </c>
      <c r="B52" s="53">
        <v>3156</v>
      </c>
      <c r="C52" s="69" t="s">
        <v>565</v>
      </c>
      <c r="D52" s="245"/>
      <c r="E52" s="246"/>
      <c r="F52" s="54"/>
      <c r="G52" s="49"/>
      <c r="H52" s="50"/>
      <c r="I52" s="55" t="s">
        <v>396</v>
      </c>
      <c r="J52" s="56" t="s">
        <v>397</v>
      </c>
      <c r="K52" s="57">
        <v>1</v>
      </c>
      <c r="L52" s="47"/>
      <c r="N52" s="58">
        <f>ROUND((_11_A通院１６．０*_11・２人),0)</f>
        <v>1336</v>
      </c>
      <c r="O52" s="59"/>
    </row>
    <row r="53" spans="1:15" ht="16.5" customHeight="1" x14ac:dyDescent="0.2">
      <c r="A53" s="44">
        <v>16</v>
      </c>
      <c r="B53" s="53">
        <v>3157</v>
      </c>
      <c r="C53" s="69" t="s">
        <v>566</v>
      </c>
      <c r="D53" s="245"/>
      <c r="E53" s="246"/>
      <c r="F53" s="241" t="s">
        <v>398</v>
      </c>
      <c r="G53" s="60" t="s">
        <v>397</v>
      </c>
      <c r="H53" s="61">
        <v>0.7</v>
      </c>
      <c r="I53" s="55"/>
      <c r="J53" s="56"/>
      <c r="K53" s="57"/>
      <c r="L53" s="47"/>
      <c r="N53" s="58">
        <f>ROUND((_11_A通院１６．０*_11・基礎１),0)</f>
        <v>935</v>
      </c>
      <c r="O53" s="59"/>
    </row>
    <row r="54" spans="1:15" ht="16.5" customHeight="1" x14ac:dyDescent="0.2">
      <c r="A54" s="44">
        <v>16</v>
      </c>
      <c r="B54" s="53">
        <v>3158</v>
      </c>
      <c r="C54" s="69" t="s">
        <v>567</v>
      </c>
      <c r="D54" s="84">
        <f>_11_A通院１６．０</f>
        <v>1336</v>
      </c>
      <c r="E54" s="25" t="s">
        <v>394</v>
      </c>
      <c r="F54" s="242"/>
      <c r="G54" s="49"/>
      <c r="H54" s="50"/>
      <c r="I54" s="55" t="s">
        <v>396</v>
      </c>
      <c r="J54" s="56" t="s">
        <v>397</v>
      </c>
      <c r="K54" s="57">
        <v>1</v>
      </c>
      <c r="L54" s="54"/>
      <c r="M54" s="49"/>
      <c r="N54" s="58">
        <f>ROUND((ROUND((_11_A通院１６．０*_11・基礎１),0)*_11・２人),0)</f>
        <v>935</v>
      </c>
      <c r="O54" s="59"/>
    </row>
    <row r="55" spans="1:15" ht="16.5" customHeight="1" x14ac:dyDescent="0.2">
      <c r="A55" s="44">
        <v>16</v>
      </c>
      <c r="B55" s="53">
        <v>3159</v>
      </c>
      <c r="C55" s="69" t="s">
        <v>568</v>
      </c>
      <c r="D55" s="243" t="s">
        <v>1934</v>
      </c>
      <c r="E55" s="244"/>
      <c r="F55" s="62"/>
      <c r="G55" s="60"/>
      <c r="H55" s="61"/>
      <c r="I55" s="55"/>
      <c r="J55" s="56"/>
      <c r="K55" s="57"/>
      <c r="L55" s="62"/>
      <c r="M55" s="60"/>
      <c r="N55" s="58">
        <f>_11_A通院１６．５</f>
        <v>1419</v>
      </c>
      <c r="O55" s="59"/>
    </row>
    <row r="56" spans="1:15" ht="16.5" customHeight="1" x14ac:dyDescent="0.2">
      <c r="A56" s="44">
        <v>16</v>
      </c>
      <c r="B56" s="53">
        <v>3160</v>
      </c>
      <c r="C56" s="69" t="s">
        <v>569</v>
      </c>
      <c r="D56" s="245"/>
      <c r="E56" s="246"/>
      <c r="F56" s="54"/>
      <c r="G56" s="49"/>
      <c r="H56" s="50"/>
      <c r="I56" s="55" t="s">
        <v>396</v>
      </c>
      <c r="J56" s="56" t="s">
        <v>397</v>
      </c>
      <c r="K56" s="57">
        <v>1</v>
      </c>
      <c r="L56" s="47"/>
      <c r="N56" s="58">
        <f>ROUND((_11_A通院１６．５*_11・２人),0)</f>
        <v>1419</v>
      </c>
      <c r="O56" s="59"/>
    </row>
    <row r="57" spans="1:15" ht="16.5" customHeight="1" x14ac:dyDescent="0.2">
      <c r="A57" s="44">
        <v>16</v>
      </c>
      <c r="B57" s="53">
        <v>3161</v>
      </c>
      <c r="C57" s="69" t="s">
        <v>570</v>
      </c>
      <c r="D57" s="245"/>
      <c r="E57" s="246"/>
      <c r="F57" s="241" t="s">
        <v>398</v>
      </c>
      <c r="G57" s="60" t="s">
        <v>397</v>
      </c>
      <c r="H57" s="61">
        <v>0.7</v>
      </c>
      <c r="I57" s="55"/>
      <c r="J57" s="56"/>
      <c r="K57" s="57"/>
      <c r="L57" s="47"/>
      <c r="N57" s="58">
        <f>ROUND((_11_A通院１６．５*_11・基礎１),0)</f>
        <v>993</v>
      </c>
      <c r="O57" s="59"/>
    </row>
    <row r="58" spans="1:15" ht="16.5" customHeight="1" x14ac:dyDescent="0.2">
      <c r="A58" s="44">
        <v>16</v>
      </c>
      <c r="B58" s="53">
        <v>3162</v>
      </c>
      <c r="C58" s="69" t="s">
        <v>571</v>
      </c>
      <c r="D58" s="84">
        <f>_11_A通院１６．５</f>
        <v>1419</v>
      </c>
      <c r="E58" s="25" t="s">
        <v>394</v>
      </c>
      <c r="F58" s="242"/>
      <c r="G58" s="49"/>
      <c r="H58" s="50"/>
      <c r="I58" s="55" t="s">
        <v>396</v>
      </c>
      <c r="J58" s="56" t="s">
        <v>397</v>
      </c>
      <c r="K58" s="57">
        <v>1</v>
      </c>
      <c r="L58" s="54"/>
      <c r="M58" s="49"/>
      <c r="N58" s="58">
        <f>ROUND((ROUND((_11_A通院１６．５*_11・基礎１),0)*_11・２人),0)</f>
        <v>993</v>
      </c>
      <c r="O58" s="59"/>
    </row>
    <row r="59" spans="1:15" ht="16.5" customHeight="1" x14ac:dyDescent="0.2">
      <c r="A59" s="44">
        <v>16</v>
      </c>
      <c r="B59" s="53">
        <v>3163</v>
      </c>
      <c r="C59" s="69" t="s">
        <v>572</v>
      </c>
      <c r="D59" s="243" t="s">
        <v>1935</v>
      </c>
      <c r="E59" s="244"/>
      <c r="F59" s="62"/>
      <c r="G59" s="60"/>
      <c r="H59" s="61"/>
      <c r="I59" s="55"/>
      <c r="J59" s="56"/>
      <c r="K59" s="57"/>
      <c r="L59" s="62"/>
      <c r="M59" s="60"/>
      <c r="N59" s="58">
        <f>_11_A通院１７．０</f>
        <v>1502</v>
      </c>
      <c r="O59" s="59"/>
    </row>
    <row r="60" spans="1:15" ht="16.5" customHeight="1" x14ac:dyDescent="0.2">
      <c r="A60" s="44">
        <v>16</v>
      </c>
      <c r="B60" s="53">
        <v>3164</v>
      </c>
      <c r="C60" s="69" t="s">
        <v>573</v>
      </c>
      <c r="D60" s="245"/>
      <c r="E60" s="246"/>
      <c r="F60" s="54"/>
      <c r="G60" s="49"/>
      <c r="H60" s="50"/>
      <c r="I60" s="55" t="s">
        <v>396</v>
      </c>
      <c r="J60" s="56" t="s">
        <v>397</v>
      </c>
      <c r="K60" s="57">
        <v>1</v>
      </c>
      <c r="L60" s="47"/>
      <c r="N60" s="58">
        <f>ROUND((_11_A通院１７．０*_11・２人),0)</f>
        <v>1502</v>
      </c>
      <c r="O60" s="59"/>
    </row>
    <row r="61" spans="1:15" ht="16.5" customHeight="1" x14ac:dyDescent="0.2">
      <c r="A61" s="44">
        <v>16</v>
      </c>
      <c r="B61" s="53">
        <v>3165</v>
      </c>
      <c r="C61" s="69" t="s">
        <v>574</v>
      </c>
      <c r="D61" s="245"/>
      <c r="E61" s="246"/>
      <c r="F61" s="241" t="s">
        <v>398</v>
      </c>
      <c r="G61" s="60" t="s">
        <v>397</v>
      </c>
      <c r="H61" s="61">
        <v>0.7</v>
      </c>
      <c r="I61" s="55"/>
      <c r="J61" s="56"/>
      <c r="K61" s="57"/>
      <c r="L61" s="47"/>
      <c r="N61" s="58">
        <f>ROUND((_11_A通院１７．０*_11・基礎１),0)</f>
        <v>1051</v>
      </c>
      <c r="O61" s="59"/>
    </row>
    <row r="62" spans="1:15" ht="16.5" customHeight="1" x14ac:dyDescent="0.2">
      <c r="A62" s="44">
        <v>16</v>
      </c>
      <c r="B62" s="53">
        <v>3166</v>
      </c>
      <c r="C62" s="69" t="s">
        <v>575</v>
      </c>
      <c r="D62" s="84">
        <f>_11_A通院１７．０</f>
        <v>1502</v>
      </c>
      <c r="E62" s="25" t="s">
        <v>394</v>
      </c>
      <c r="F62" s="242"/>
      <c r="G62" s="49"/>
      <c r="H62" s="50"/>
      <c r="I62" s="55" t="s">
        <v>396</v>
      </c>
      <c r="J62" s="56" t="s">
        <v>397</v>
      </c>
      <c r="K62" s="57">
        <v>1</v>
      </c>
      <c r="L62" s="54"/>
      <c r="M62" s="49"/>
      <c r="N62" s="58">
        <f>ROUND((ROUND((_11_A通院１７．０*_11・基礎１),0)*_11・２人),0)</f>
        <v>1051</v>
      </c>
      <c r="O62" s="59"/>
    </row>
    <row r="63" spans="1:15" ht="16.5" customHeight="1" x14ac:dyDescent="0.2">
      <c r="A63" s="44">
        <v>16</v>
      </c>
      <c r="B63" s="53">
        <v>3167</v>
      </c>
      <c r="C63" s="69" t="s">
        <v>576</v>
      </c>
      <c r="D63" s="243" t="s">
        <v>1936</v>
      </c>
      <c r="E63" s="244"/>
      <c r="F63" s="62"/>
      <c r="G63" s="60"/>
      <c r="H63" s="61"/>
      <c r="I63" s="55"/>
      <c r="J63" s="56"/>
      <c r="K63" s="57"/>
      <c r="L63" s="62"/>
      <c r="M63" s="60"/>
      <c r="N63" s="58">
        <f>_11_A通院１７．５</f>
        <v>1585</v>
      </c>
      <c r="O63" s="59"/>
    </row>
    <row r="64" spans="1:15" ht="16.5" customHeight="1" x14ac:dyDescent="0.2">
      <c r="A64" s="44">
        <v>16</v>
      </c>
      <c r="B64" s="53">
        <v>3168</v>
      </c>
      <c r="C64" s="69" t="s">
        <v>577</v>
      </c>
      <c r="D64" s="245"/>
      <c r="E64" s="246"/>
      <c r="F64" s="54"/>
      <c r="G64" s="49"/>
      <c r="H64" s="50"/>
      <c r="I64" s="55" t="s">
        <v>396</v>
      </c>
      <c r="J64" s="56" t="s">
        <v>397</v>
      </c>
      <c r="K64" s="57">
        <v>1</v>
      </c>
      <c r="L64" s="47"/>
      <c r="N64" s="58">
        <f>ROUND((_11_A通院１７．５*_11・２人),0)</f>
        <v>1585</v>
      </c>
      <c r="O64" s="59"/>
    </row>
    <row r="65" spans="1:15" ht="16.5" customHeight="1" x14ac:dyDescent="0.2">
      <c r="A65" s="44">
        <v>16</v>
      </c>
      <c r="B65" s="53">
        <v>3169</v>
      </c>
      <c r="C65" s="69" t="s">
        <v>578</v>
      </c>
      <c r="D65" s="245"/>
      <c r="E65" s="246"/>
      <c r="F65" s="241" t="s">
        <v>398</v>
      </c>
      <c r="G65" s="60" t="s">
        <v>397</v>
      </c>
      <c r="H65" s="61">
        <v>0.7</v>
      </c>
      <c r="I65" s="55"/>
      <c r="J65" s="56"/>
      <c r="K65" s="57"/>
      <c r="L65" s="47"/>
      <c r="N65" s="58">
        <f>ROUND((_11_A通院１７．５*_11・基礎１),0)</f>
        <v>1110</v>
      </c>
      <c r="O65" s="59"/>
    </row>
    <row r="66" spans="1:15" ht="16.5" customHeight="1" x14ac:dyDescent="0.2">
      <c r="A66" s="44">
        <v>16</v>
      </c>
      <c r="B66" s="53">
        <v>3170</v>
      </c>
      <c r="C66" s="69" t="s">
        <v>579</v>
      </c>
      <c r="D66" s="84">
        <f>_11_A通院１７．５</f>
        <v>1585</v>
      </c>
      <c r="E66" s="25" t="s">
        <v>394</v>
      </c>
      <c r="F66" s="242"/>
      <c r="G66" s="49"/>
      <c r="H66" s="50"/>
      <c r="I66" s="55" t="s">
        <v>396</v>
      </c>
      <c r="J66" s="56" t="s">
        <v>397</v>
      </c>
      <c r="K66" s="57">
        <v>1</v>
      </c>
      <c r="L66" s="54"/>
      <c r="M66" s="49"/>
      <c r="N66" s="58">
        <f>ROUND((ROUND((_11_A通院１７．５*_11・基礎１),0)*_11・２人),0)</f>
        <v>1110</v>
      </c>
      <c r="O66" s="59"/>
    </row>
    <row r="67" spans="1:15" ht="16.5" customHeight="1" x14ac:dyDescent="0.2">
      <c r="A67" s="44">
        <v>16</v>
      </c>
      <c r="B67" s="53">
        <v>3171</v>
      </c>
      <c r="C67" s="69" t="s">
        <v>580</v>
      </c>
      <c r="D67" s="243" t="s">
        <v>1937</v>
      </c>
      <c r="E67" s="244"/>
      <c r="F67" s="62"/>
      <c r="G67" s="60"/>
      <c r="H67" s="61"/>
      <c r="I67" s="55"/>
      <c r="J67" s="56"/>
      <c r="K67" s="57"/>
      <c r="L67" s="62"/>
      <c r="M67" s="60"/>
      <c r="N67" s="58">
        <f>_11_A通院１８．０</f>
        <v>1668</v>
      </c>
      <c r="O67" s="59"/>
    </row>
    <row r="68" spans="1:15" ht="16.5" customHeight="1" x14ac:dyDescent="0.2">
      <c r="A68" s="44">
        <v>16</v>
      </c>
      <c r="B68" s="53">
        <v>3172</v>
      </c>
      <c r="C68" s="69" t="s">
        <v>581</v>
      </c>
      <c r="D68" s="245"/>
      <c r="E68" s="246"/>
      <c r="F68" s="54"/>
      <c r="G68" s="49"/>
      <c r="H68" s="50"/>
      <c r="I68" s="55" t="s">
        <v>396</v>
      </c>
      <c r="J68" s="56" t="s">
        <v>397</v>
      </c>
      <c r="K68" s="57">
        <v>1</v>
      </c>
      <c r="L68" s="47"/>
      <c r="N68" s="58">
        <f>ROUND((_11_A通院１８．０*_11・２人),0)</f>
        <v>1668</v>
      </c>
      <c r="O68" s="59"/>
    </row>
    <row r="69" spans="1:15" ht="16.5" customHeight="1" x14ac:dyDescent="0.2">
      <c r="A69" s="44">
        <v>16</v>
      </c>
      <c r="B69" s="53">
        <v>3173</v>
      </c>
      <c r="C69" s="69" t="s">
        <v>582</v>
      </c>
      <c r="D69" s="245"/>
      <c r="E69" s="246"/>
      <c r="F69" s="241" t="s">
        <v>398</v>
      </c>
      <c r="G69" s="60" t="s">
        <v>397</v>
      </c>
      <c r="H69" s="61">
        <v>0.7</v>
      </c>
      <c r="I69" s="55"/>
      <c r="J69" s="56"/>
      <c r="K69" s="57"/>
      <c r="L69" s="47"/>
      <c r="N69" s="58">
        <f>ROUND((_11_A通院１８．０*_11・基礎１),0)</f>
        <v>1168</v>
      </c>
      <c r="O69" s="59"/>
    </row>
    <row r="70" spans="1:15" ht="16.5" customHeight="1" x14ac:dyDescent="0.2">
      <c r="A70" s="44">
        <v>16</v>
      </c>
      <c r="B70" s="53">
        <v>3174</v>
      </c>
      <c r="C70" s="69" t="s">
        <v>583</v>
      </c>
      <c r="D70" s="84">
        <f>_11_A通院１８．０</f>
        <v>1668</v>
      </c>
      <c r="E70" s="25" t="s">
        <v>394</v>
      </c>
      <c r="F70" s="242"/>
      <c r="G70" s="49"/>
      <c r="H70" s="50"/>
      <c r="I70" s="55" t="s">
        <v>396</v>
      </c>
      <c r="J70" s="56" t="s">
        <v>397</v>
      </c>
      <c r="K70" s="57">
        <v>1</v>
      </c>
      <c r="L70" s="54"/>
      <c r="M70" s="49"/>
      <c r="N70" s="58">
        <f>ROUND((ROUND((_11_A通院１８．０*_11・基礎１),0)*_11・２人),0)</f>
        <v>1168</v>
      </c>
      <c r="O70" s="59"/>
    </row>
    <row r="71" spans="1:15" ht="16.5" customHeight="1" x14ac:dyDescent="0.2">
      <c r="A71" s="44">
        <v>16</v>
      </c>
      <c r="B71" s="53">
        <v>3175</v>
      </c>
      <c r="C71" s="69" t="s">
        <v>584</v>
      </c>
      <c r="D71" s="243" t="s">
        <v>1938</v>
      </c>
      <c r="E71" s="244"/>
      <c r="F71" s="62"/>
      <c r="G71" s="60"/>
      <c r="H71" s="61"/>
      <c r="I71" s="55"/>
      <c r="J71" s="56"/>
      <c r="K71" s="57"/>
      <c r="L71" s="62"/>
      <c r="M71" s="60"/>
      <c r="N71" s="58">
        <f>_11_A通院１８．５</f>
        <v>1751</v>
      </c>
      <c r="O71" s="59"/>
    </row>
    <row r="72" spans="1:15" ht="16.5" customHeight="1" x14ac:dyDescent="0.2">
      <c r="A72" s="44">
        <v>16</v>
      </c>
      <c r="B72" s="53">
        <v>3176</v>
      </c>
      <c r="C72" s="69" t="s">
        <v>585</v>
      </c>
      <c r="D72" s="245"/>
      <c r="E72" s="246"/>
      <c r="F72" s="54"/>
      <c r="G72" s="49"/>
      <c r="H72" s="50"/>
      <c r="I72" s="55" t="s">
        <v>396</v>
      </c>
      <c r="J72" s="56" t="s">
        <v>397</v>
      </c>
      <c r="K72" s="57">
        <v>1</v>
      </c>
      <c r="L72" s="47"/>
      <c r="N72" s="58">
        <f>ROUND((_11_A通院１８．５*_11・２人),0)</f>
        <v>1751</v>
      </c>
      <c r="O72" s="59"/>
    </row>
    <row r="73" spans="1:15" ht="16.5" customHeight="1" x14ac:dyDescent="0.2">
      <c r="A73" s="44">
        <v>16</v>
      </c>
      <c r="B73" s="53">
        <v>3177</v>
      </c>
      <c r="C73" s="69" t="s">
        <v>586</v>
      </c>
      <c r="D73" s="245"/>
      <c r="E73" s="246"/>
      <c r="F73" s="241" t="s">
        <v>398</v>
      </c>
      <c r="G73" s="60" t="s">
        <v>397</v>
      </c>
      <c r="H73" s="61">
        <v>0.7</v>
      </c>
      <c r="I73" s="55"/>
      <c r="J73" s="56"/>
      <c r="K73" s="57"/>
      <c r="L73" s="47"/>
      <c r="N73" s="58">
        <f>ROUND((_11_A通院１８．５*_11・基礎１),0)</f>
        <v>1226</v>
      </c>
      <c r="O73" s="59"/>
    </row>
    <row r="74" spans="1:15" ht="16.5" customHeight="1" x14ac:dyDescent="0.2">
      <c r="A74" s="44">
        <v>16</v>
      </c>
      <c r="B74" s="53">
        <v>3178</v>
      </c>
      <c r="C74" s="69" t="s">
        <v>587</v>
      </c>
      <c r="D74" s="84">
        <f>_11_A通院１８．５</f>
        <v>1751</v>
      </c>
      <c r="E74" s="25" t="s">
        <v>394</v>
      </c>
      <c r="F74" s="242"/>
      <c r="G74" s="49"/>
      <c r="H74" s="50"/>
      <c r="I74" s="55" t="s">
        <v>396</v>
      </c>
      <c r="J74" s="56" t="s">
        <v>397</v>
      </c>
      <c r="K74" s="57">
        <v>1</v>
      </c>
      <c r="L74" s="54"/>
      <c r="M74" s="49"/>
      <c r="N74" s="58">
        <f>ROUND((ROUND((_11_A通院１８．５*_11・基礎１),0)*_11・２人),0)</f>
        <v>1226</v>
      </c>
      <c r="O74" s="59"/>
    </row>
    <row r="75" spans="1:15" ht="16.5" customHeight="1" x14ac:dyDescent="0.2">
      <c r="A75" s="44">
        <v>16</v>
      </c>
      <c r="B75" s="44">
        <v>3179</v>
      </c>
      <c r="C75" s="45" t="s">
        <v>588</v>
      </c>
      <c r="D75" s="245" t="s">
        <v>1939</v>
      </c>
      <c r="E75" s="246"/>
      <c r="F75" s="47"/>
      <c r="I75" s="48"/>
      <c r="J75" s="49"/>
      <c r="K75" s="50"/>
      <c r="L75" s="47"/>
      <c r="N75" s="51">
        <f>_11_A通院１９．０</f>
        <v>1834</v>
      </c>
      <c r="O75" s="183"/>
    </row>
    <row r="76" spans="1:15" ht="16.5" customHeight="1" x14ac:dyDescent="0.2">
      <c r="A76" s="44">
        <v>16</v>
      </c>
      <c r="B76" s="53">
        <v>3180</v>
      </c>
      <c r="C76" s="69" t="s">
        <v>589</v>
      </c>
      <c r="D76" s="245"/>
      <c r="E76" s="246"/>
      <c r="F76" s="54"/>
      <c r="G76" s="49"/>
      <c r="H76" s="50"/>
      <c r="I76" s="55" t="s">
        <v>396</v>
      </c>
      <c r="J76" s="56" t="s">
        <v>397</v>
      </c>
      <c r="K76" s="57">
        <v>1</v>
      </c>
      <c r="L76" s="47"/>
      <c r="N76" s="58">
        <f>ROUND((_11_A通院１９．０*_11・２人),0)</f>
        <v>1834</v>
      </c>
      <c r="O76" s="59"/>
    </row>
    <row r="77" spans="1:15" ht="16.5" customHeight="1" x14ac:dyDescent="0.2">
      <c r="A77" s="44">
        <v>16</v>
      </c>
      <c r="B77" s="53">
        <v>3181</v>
      </c>
      <c r="C77" s="69" t="s">
        <v>590</v>
      </c>
      <c r="D77" s="245"/>
      <c r="E77" s="246"/>
      <c r="F77" s="241" t="s">
        <v>398</v>
      </c>
      <c r="G77" s="60" t="s">
        <v>397</v>
      </c>
      <c r="H77" s="61">
        <v>0.7</v>
      </c>
      <c r="I77" s="55"/>
      <c r="J77" s="56"/>
      <c r="K77" s="57"/>
      <c r="L77" s="47"/>
      <c r="N77" s="58">
        <f>ROUND((_11_A通院１９．０*_11・基礎１),0)</f>
        <v>1284</v>
      </c>
      <c r="O77" s="59"/>
    </row>
    <row r="78" spans="1:15" ht="16.5" customHeight="1" x14ac:dyDescent="0.2">
      <c r="A78" s="44">
        <v>16</v>
      </c>
      <c r="B78" s="53">
        <v>3182</v>
      </c>
      <c r="C78" s="69" t="s">
        <v>591</v>
      </c>
      <c r="D78" s="84">
        <f>_11_A通院１９．０</f>
        <v>1834</v>
      </c>
      <c r="E78" s="25" t="s">
        <v>394</v>
      </c>
      <c r="F78" s="242"/>
      <c r="G78" s="49"/>
      <c r="H78" s="50"/>
      <c r="I78" s="55" t="s">
        <v>396</v>
      </c>
      <c r="J78" s="56" t="s">
        <v>397</v>
      </c>
      <c r="K78" s="57">
        <v>1</v>
      </c>
      <c r="L78" s="54"/>
      <c r="M78" s="49"/>
      <c r="N78" s="58">
        <f>ROUND((ROUND((_11_A通院１９．０*_11・基礎１),0)*_11・２人),0)</f>
        <v>1284</v>
      </c>
      <c r="O78" s="52"/>
    </row>
    <row r="79" spans="1:15" ht="16.5" customHeight="1" x14ac:dyDescent="0.2">
      <c r="A79" s="44">
        <v>16</v>
      </c>
      <c r="B79" s="53">
        <v>3183</v>
      </c>
      <c r="C79" s="69" t="s">
        <v>592</v>
      </c>
      <c r="D79" s="243" t="s">
        <v>1940</v>
      </c>
      <c r="E79" s="244"/>
      <c r="F79" s="62"/>
      <c r="G79" s="60"/>
      <c r="H79" s="61"/>
      <c r="I79" s="55"/>
      <c r="J79" s="56"/>
      <c r="K79" s="57"/>
      <c r="L79" s="62"/>
      <c r="M79" s="60"/>
      <c r="N79" s="58">
        <f>_11_A通院１９．５</f>
        <v>1917</v>
      </c>
      <c r="O79" s="59"/>
    </row>
    <row r="80" spans="1:15" ht="16.5" customHeight="1" x14ac:dyDescent="0.2">
      <c r="A80" s="44">
        <v>16</v>
      </c>
      <c r="B80" s="53">
        <v>3184</v>
      </c>
      <c r="C80" s="69" t="s">
        <v>593</v>
      </c>
      <c r="D80" s="245"/>
      <c r="E80" s="246"/>
      <c r="F80" s="54"/>
      <c r="G80" s="49"/>
      <c r="H80" s="50"/>
      <c r="I80" s="55" t="s">
        <v>396</v>
      </c>
      <c r="J80" s="56" t="s">
        <v>397</v>
      </c>
      <c r="K80" s="57">
        <v>1</v>
      </c>
      <c r="L80" s="47"/>
      <c r="N80" s="58">
        <f>ROUND((_11_A通院１９．５*_11・２人),0)</f>
        <v>1917</v>
      </c>
      <c r="O80" s="59"/>
    </row>
    <row r="81" spans="1:15" ht="16.5" customHeight="1" x14ac:dyDescent="0.2">
      <c r="A81" s="44">
        <v>16</v>
      </c>
      <c r="B81" s="53">
        <v>3185</v>
      </c>
      <c r="C81" s="69" t="s">
        <v>594</v>
      </c>
      <c r="D81" s="245"/>
      <c r="E81" s="246"/>
      <c r="F81" s="241" t="s">
        <v>398</v>
      </c>
      <c r="G81" s="60" t="s">
        <v>397</v>
      </c>
      <c r="H81" s="61">
        <v>0.7</v>
      </c>
      <c r="I81" s="55"/>
      <c r="J81" s="56"/>
      <c r="K81" s="57"/>
      <c r="L81" s="47"/>
      <c r="N81" s="58">
        <f>ROUND((_11_A通院１９．５*_11・基礎１),0)</f>
        <v>1342</v>
      </c>
      <c r="O81" s="59"/>
    </row>
    <row r="82" spans="1:15" ht="16.5" customHeight="1" x14ac:dyDescent="0.2">
      <c r="A82" s="44">
        <v>16</v>
      </c>
      <c r="B82" s="53">
        <v>3186</v>
      </c>
      <c r="C82" s="69" t="s">
        <v>595</v>
      </c>
      <c r="D82" s="84">
        <f>_11_A通院１９．５</f>
        <v>1917</v>
      </c>
      <c r="E82" s="25" t="s">
        <v>394</v>
      </c>
      <c r="F82" s="242"/>
      <c r="G82" s="49"/>
      <c r="H82" s="50"/>
      <c r="I82" s="55" t="s">
        <v>396</v>
      </c>
      <c r="J82" s="56" t="s">
        <v>397</v>
      </c>
      <c r="K82" s="57">
        <v>1</v>
      </c>
      <c r="L82" s="54"/>
      <c r="M82" s="49"/>
      <c r="N82" s="58">
        <f>ROUND((ROUND((_11_A通院１９．５*_11・基礎１),0)*_11・２人),0)</f>
        <v>1342</v>
      </c>
      <c r="O82" s="59"/>
    </row>
    <row r="83" spans="1:15" ht="16.5" customHeight="1" x14ac:dyDescent="0.2">
      <c r="A83" s="44">
        <v>16</v>
      </c>
      <c r="B83" s="53">
        <v>3187</v>
      </c>
      <c r="C83" s="69" t="s">
        <v>596</v>
      </c>
      <c r="D83" s="243" t="s">
        <v>1941</v>
      </c>
      <c r="E83" s="244"/>
      <c r="F83" s="62"/>
      <c r="G83" s="60"/>
      <c r="H83" s="61"/>
      <c r="I83" s="55"/>
      <c r="J83" s="56"/>
      <c r="K83" s="57"/>
      <c r="L83" s="62"/>
      <c r="M83" s="60"/>
      <c r="N83" s="58">
        <f>_11_A通院１１０．０</f>
        <v>2000</v>
      </c>
      <c r="O83" s="59"/>
    </row>
    <row r="84" spans="1:15" ht="16.5" customHeight="1" x14ac:dyDescent="0.2">
      <c r="A84" s="44">
        <v>16</v>
      </c>
      <c r="B84" s="53">
        <v>3188</v>
      </c>
      <c r="C84" s="69" t="s">
        <v>597</v>
      </c>
      <c r="D84" s="245"/>
      <c r="E84" s="246"/>
      <c r="F84" s="54"/>
      <c r="G84" s="49"/>
      <c r="H84" s="50"/>
      <c r="I84" s="55" t="s">
        <v>396</v>
      </c>
      <c r="J84" s="56" t="s">
        <v>397</v>
      </c>
      <c r="K84" s="57">
        <v>1</v>
      </c>
      <c r="L84" s="47"/>
      <c r="N84" s="58">
        <f>ROUND((_11_A通院１１０．０*_11・２人),0)</f>
        <v>2000</v>
      </c>
      <c r="O84" s="59"/>
    </row>
    <row r="85" spans="1:15" ht="16.5" customHeight="1" x14ac:dyDescent="0.2">
      <c r="A85" s="44">
        <v>16</v>
      </c>
      <c r="B85" s="53">
        <v>3189</v>
      </c>
      <c r="C85" s="69" t="s">
        <v>598</v>
      </c>
      <c r="D85" s="245"/>
      <c r="E85" s="246"/>
      <c r="F85" s="241" t="s">
        <v>398</v>
      </c>
      <c r="G85" s="60" t="s">
        <v>397</v>
      </c>
      <c r="H85" s="61">
        <v>0.7</v>
      </c>
      <c r="I85" s="55"/>
      <c r="J85" s="56"/>
      <c r="K85" s="57"/>
      <c r="L85" s="47"/>
      <c r="N85" s="58">
        <f>ROUND((_11_A通院１１０．０*_11・基礎１),0)</f>
        <v>1400</v>
      </c>
      <c r="O85" s="59"/>
    </row>
    <row r="86" spans="1:15" ht="16.5" customHeight="1" x14ac:dyDescent="0.2">
      <c r="A86" s="44">
        <v>16</v>
      </c>
      <c r="B86" s="53">
        <v>3190</v>
      </c>
      <c r="C86" s="69" t="s">
        <v>599</v>
      </c>
      <c r="D86" s="84">
        <f>_11_A通院１１０．０</f>
        <v>2000</v>
      </c>
      <c r="E86" s="25" t="s">
        <v>394</v>
      </c>
      <c r="F86" s="242"/>
      <c r="G86" s="49"/>
      <c r="H86" s="50"/>
      <c r="I86" s="55" t="s">
        <v>396</v>
      </c>
      <c r="J86" s="56" t="s">
        <v>397</v>
      </c>
      <c r="K86" s="57">
        <v>1</v>
      </c>
      <c r="L86" s="54"/>
      <c r="M86" s="49"/>
      <c r="N86" s="58">
        <f>ROUND((ROUND((_11_A通院１１０．０*_11・基礎１),0)*_11・２人),0)</f>
        <v>1400</v>
      </c>
      <c r="O86" s="59"/>
    </row>
    <row r="87" spans="1:15" ht="16.5" customHeight="1" x14ac:dyDescent="0.2">
      <c r="A87" s="44">
        <v>16</v>
      </c>
      <c r="B87" s="53">
        <v>3191</v>
      </c>
      <c r="C87" s="69" t="s">
        <v>600</v>
      </c>
      <c r="D87" s="237" t="s">
        <v>1942</v>
      </c>
      <c r="E87" s="238"/>
      <c r="F87" s="62"/>
      <c r="G87" s="60"/>
      <c r="H87" s="61"/>
      <c r="I87" s="55"/>
      <c r="J87" s="56"/>
      <c r="K87" s="57"/>
      <c r="L87" s="62"/>
      <c r="M87" s="60"/>
      <c r="N87" s="58">
        <f>_11_A通院１１０．５</f>
        <v>2083</v>
      </c>
      <c r="O87" s="59"/>
    </row>
    <row r="88" spans="1:15" ht="16.5" customHeight="1" x14ac:dyDescent="0.2">
      <c r="A88" s="44">
        <v>16</v>
      </c>
      <c r="B88" s="53">
        <v>3192</v>
      </c>
      <c r="C88" s="69" t="s">
        <v>601</v>
      </c>
      <c r="D88" s="239"/>
      <c r="E88" s="240"/>
      <c r="F88" s="54"/>
      <c r="G88" s="49"/>
      <c r="H88" s="50"/>
      <c r="I88" s="55" t="s">
        <v>396</v>
      </c>
      <c r="J88" s="56" t="s">
        <v>397</v>
      </c>
      <c r="K88" s="57">
        <v>1</v>
      </c>
      <c r="L88" s="47"/>
      <c r="N88" s="58">
        <f>ROUND((_11_A通院１１０．５*_11・２人),0)</f>
        <v>2083</v>
      </c>
      <c r="O88" s="59"/>
    </row>
    <row r="89" spans="1:15" ht="16.5" customHeight="1" x14ac:dyDescent="0.2">
      <c r="A89" s="44">
        <v>16</v>
      </c>
      <c r="B89" s="53">
        <v>3193</v>
      </c>
      <c r="C89" s="69" t="s">
        <v>602</v>
      </c>
      <c r="D89" s="239"/>
      <c r="E89" s="240"/>
      <c r="F89" s="241" t="s">
        <v>398</v>
      </c>
      <c r="G89" s="60" t="s">
        <v>397</v>
      </c>
      <c r="H89" s="61">
        <v>0.7</v>
      </c>
      <c r="I89" s="55"/>
      <c r="J89" s="56"/>
      <c r="K89" s="57"/>
      <c r="L89" s="47"/>
      <c r="N89" s="58">
        <f>ROUND((_11_A通院１１０．５*_11・基礎１),0)</f>
        <v>1458</v>
      </c>
      <c r="O89" s="59"/>
    </row>
    <row r="90" spans="1:15" ht="16.5" customHeight="1" x14ac:dyDescent="0.2">
      <c r="A90" s="44">
        <v>16</v>
      </c>
      <c r="B90" s="53">
        <v>3194</v>
      </c>
      <c r="C90" s="69" t="s">
        <v>603</v>
      </c>
      <c r="D90" s="110">
        <f>_11_A通院１１０．５</f>
        <v>2083</v>
      </c>
      <c r="E90" s="97" t="s">
        <v>394</v>
      </c>
      <c r="F90" s="242"/>
      <c r="G90" s="49"/>
      <c r="H90" s="50"/>
      <c r="I90" s="55" t="s">
        <v>396</v>
      </c>
      <c r="J90" s="56" t="s">
        <v>397</v>
      </c>
      <c r="K90" s="57">
        <v>1</v>
      </c>
      <c r="L90" s="54"/>
      <c r="M90" s="49"/>
      <c r="N90" s="58">
        <f>ROUND((ROUND((_11_A通院１１０．５*_11・基礎１),0)*_11・２人),0)</f>
        <v>1458</v>
      </c>
      <c r="O90" s="111"/>
    </row>
    <row r="91" spans="1:15" ht="16.5" customHeight="1" x14ac:dyDescent="0.2"/>
    <row r="92" spans="1:15" ht="16.5" customHeight="1" x14ac:dyDescent="0.2"/>
  </sheetData>
  <mergeCells count="42">
    <mergeCell ref="D15:E17"/>
    <mergeCell ref="F17:F18"/>
    <mergeCell ref="D7:E9"/>
    <mergeCell ref="F9:F10"/>
    <mergeCell ref="D11:E13"/>
    <mergeCell ref="F13:F14"/>
    <mergeCell ref="D27:E29"/>
    <mergeCell ref="F29:F30"/>
    <mergeCell ref="D19:E21"/>
    <mergeCell ref="F21:F22"/>
    <mergeCell ref="D23:E25"/>
    <mergeCell ref="F25:F26"/>
    <mergeCell ref="D39:E41"/>
    <mergeCell ref="F41:F42"/>
    <mergeCell ref="D31:E33"/>
    <mergeCell ref="F33:F34"/>
    <mergeCell ref="D35:E37"/>
    <mergeCell ref="F37:F38"/>
    <mergeCell ref="D51:E53"/>
    <mergeCell ref="F53:F54"/>
    <mergeCell ref="D43:E45"/>
    <mergeCell ref="F45:F46"/>
    <mergeCell ref="D47:E49"/>
    <mergeCell ref="F49:F50"/>
    <mergeCell ref="D63:E65"/>
    <mergeCell ref="F65:F66"/>
    <mergeCell ref="D55:E57"/>
    <mergeCell ref="F57:F58"/>
    <mergeCell ref="D59:E61"/>
    <mergeCell ref="F61:F62"/>
    <mergeCell ref="D75:E77"/>
    <mergeCell ref="F77:F78"/>
    <mergeCell ref="D67:E69"/>
    <mergeCell ref="F69:F70"/>
    <mergeCell ref="D71:E73"/>
    <mergeCell ref="F73:F74"/>
    <mergeCell ref="D87:E89"/>
    <mergeCell ref="F89:F90"/>
    <mergeCell ref="D79:E81"/>
    <mergeCell ref="F81:F82"/>
    <mergeCell ref="D83:E85"/>
    <mergeCell ref="F85:F8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69"/>
  <sheetViews>
    <sheetView workbookViewId="0"/>
  </sheetViews>
  <sheetFormatPr defaultColWidth="8.90625" defaultRowHeight="14" x14ac:dyDescent="0.2"/>
  <cols>
    <col min="1" max="1" width="4.6328125" style="22" customWidth="1"/>
    <col min="2" max="2" width="7.6328125" style="22" customWidth="1"/>
    <col min="3" max="3" width="37.453125" style="23" customWidth="1"/>
    <col min="4" max="4" width="4.90625" style="23" customWidth="1"/>
    <col min="5" max="5" width="4.90625" style="25" customWidth="1"/>
    <col min="6" max="6" width="11.453125" style="25" customWidth="1"/>
    <col min="7" max="7" width="2.453125" style="29" customWidth="1"/>
    <col min="8" max="8" width="4.453125" style="26" bestFit="1" customWidth="1"/>
    <col min="9" max="9" width="26" style="25" customWidth="1"/>
    <col min="10" max="10" width="2.453125" style="25" customWidth="1"/>
    <col min="11" max="11" width="5.453125" style="26" bestFit="1" customWidth="1"/>
    <col min="12" max="12" width="2.453125" style="25" customWidth="1"/>
    <col min="13" max="13" width="3.90625" style="25" customWidth="1"/>
    <col min="14" max="14" width="4.453125" style="26" bestFit="1" customWidth="1"/>
    <col min="15" max="15" width="9.90625" style="25" customWidth="1"/>
    <col min="16" max="16" width="4.453125" style="26" bestFit="1" customWidth="1"/>
    <col min="17" max="17" width="7.08984375" style="28" customWidth="1"/>
    <col min="18" max="18" width="8.6328125" style="29" customWidth="1"/>
    <col min="19" max="16384" width="8.90625" style="25"/>
  </cols>
  <sheetData>
    <row r="1" spans="1:18" ht="17.149999999999999" customHeight="1" x14ac:dyDescent="0.2"/>
    <row r="2" spans="1:18" ht="17.149999999999999" customHeight="1" x14ac:dyDescent="0.2"/>
    <row r="3" spans="1:18" ht="17.149999999999999" customHeight="1" x14ac:dyDescent="0.2"/>
    <row r="4" spans="1:18" ht="17.149999999999999" customHeight="1" x14ac:dyDescent="0.2">
      <c r="B4" s="30" t="s">
        <v>1525</v>
      </c>
      <c r="D4" s="65"/>
    </row>
    <row r="5" spans="1:18" ht="16.5" customHeight="1" x14ac:dyDescent="0.2">
      <c r="A5" s="31" t="s">
        <v>386</v>
      </c>
      <c r="B5" s="32"/>
      <c r="C5" s="33" t="s">
        <v>387</v>
      </c>
      <c r="D5" s="134" t="s">
        <v>388</v>
      </c>
      <c r="E5" s="34"/>
      <c r="F5" s="34"/>
      <c r="G5" s="34"/>
      <c r="H5" s="35"/>
      <c r="I5" s="34"/>
      <c r="J5" s="34"/>
      <c r="K5" s="35"/>
      <c r="L5" s="34"/>
      <c r="M5" s="34"/>
      <c r="N5" s="35"/>
      <c r="O5" s="34"/>
      <c r="P5" s="35"/>
      <c r="Q5" s="36" t="s">
        <v>389</v>
      </c>
      <c r="R5" s="33" t="s">
        <v>390</v>
      </c>
    </row>
    <row r="6" spans="1:18" ht="16.5" customHeight="1" x14ac:dyDescent="0.2">
      <c r="A6" s="37" t="s">
        <v>391</v>
      </c>
      <c r="B6" s="37" t="s">
        <v>392</v>
      </c>
      <c r="C6" s="38"/>
      <c r="D6" s="108"/>
      <c r="E6" s="40"/>
      <c r="F6" s="40"/>
      <c r="G6" s="129"/>
      <c r="H6" s="41"/>
      <c r="I6" s="40"/>
      <c r="J6" s="40"/>
      <c r="K6" s="41"/>
      <c r="L6" s="40"/>
      <c r="M6" s="40"/>
      <c r="N6" s="41"/>
      <c r="O6" s="40"/>
      <c r="P6" s="41"/>
      <c r="Q6" s="42" t="s">
        <v>393</v>
      </c>
      <c r="R6" s="43" t="s">
        <v>394</v>
      </c>
    </row>
    <row r="7" spans="1:18" ht="16.5" customHeight="1" x14ac:dyDescent="0.2">
      <c r="A7" s="44">
        <v>16</v>
      </c>
      <c r="B7" s="44">
        <v>7195</v>
      </c>
      <c r="C7" s="45" t="s">
        <v>1526</v>
      </c>
      <c r="D7" s="245" t="s">
        <v>1943</v>
      </c>
      <c r="E7" s="274"/>
      <c r="F7" s="47"/>
      <c r="I7" s="54"/>
      <c r="J7" s="49"/>
      <c r="K7" s="50"/>
      <c r="L7" s="47" t="s">
        <v>399</v>
      </c>
      <c r="O7" s="47"/>
      <c r="P7" s="133"/>
      <c r="Q7" s="51">
        <f>ROUND((_11_A通院２０．５*(1+_11・A早朝)),0)</f>
        <v>133</v>
      </c>
      <c r="R7" s="52" t="s">
        <v>395</v>
      </c>
    </row>
    <row r="8" spans="1:18" ht="16.5" customHeight="1" x14ac:dyDescent="0.2">
      <c r="A8" s="44">
        <v>16</v>
      </c>
      <c r="B8" s="53">
        <v>7196</v>
      </c>
      <c r="C8" s="69" t="s">
        <v>1527</v>
      </c>
      <c r="D8" s="273"/>
      <c r="E8" s="274"/>
      <c r="F8" s="54"/>
      <c r="G8" s="130"/>
      <c r="H8" s="50"/>
      <c r="I8" s="144" t="s">
        <v>396</v>
      </c>
      <c r="J8" s="131" t="s">
        <v>397</v>
      </c>
      <c r="K8" s="57">
        <v>1</v>
      </c>
      <c r="L8" s="139" t="s">
        <v>397</v>
      </c>
      <c r="M8" s="26">
        <v>0.25</v>
      </c>
      <c r="N8" s="256" t="s">
        <v>400</v>
      </c>
      <c r="O8" s="47"/>
      <c r="P8" s="133"/>
      <c r="Q8" s="58">
        <f>ROUND((ROUND((_11_A通院２０．５*_11・２人),0)*(1+_11・A早朝)),0)</f>
        <v>133</v>
      </c>
      <c r="R8" s="59"/>
    </row>
    <row r="9" spans="1:18" ht="16.5" customHeight="1" x14ac:dyDescent="0.2">
      <c r="A9" s="44">
        <v>16</v>
      </c>
      <c r="B9" s="53">
        <v>7197</v>
      </c>
      <c r="C9" s="69" t="s">
        <v>1528</v>
      </c>
      <c r="D9" s="273"/>
      <c r="E9" s="274"/>
      <c r="F9" s="241" t="s">
        <v>398</v>
      </c>
      <c r="G9" s="132" t="s">
        <v>397</v>
      </c>
      <c r="H9" s="61">
        <v>0.9</v>
      </c>
      <c r="I9" s="109"/>
      <c r="J9" s="56"/>
      <c r="K9" s="57"/>
      <c r="L9" s="47"/>
      <c r="N9" s="277"/>
      <c r="O9" s="47"/>
      <c r="P9" s="133"/>
      <c r="Q9" s="58">
        <f>ROUND((ROUND((_11_A通院２０．５*_11・基礎２),0)*(1+_11・A早朝)),0)</f>
        <v>119</v>
      </c>
      <c r="R9" s="59"/>
    </row>
    <row r="10" spans="1:18" ht="16.5" customHeight="1" x14ac:dyDescent="0.2">
      <c r="A10" s="44">
        <v>16</v>
      </c>
      <c r="B10" s="53">
        <v>7198</v>
      </c>
      <c r="C10" s="69" t="s">
        <v>1529</v>
      </c>
      <c r="D10" s="142">
        <f>_11_A通院２０．５</f>
        <v>106</v>
      </c>
      <c r="E10" s="23" t="s">
        <v>394</v>
      </c>
      <c r="F10" s="242"/>
      <c r="G10" s="130"/>
      <c r="H10" s="50"/>
      <c r="I10" s="144" t="s">
        <v>396</v>
      </c>
      <c r="J10" s="131" t="s">
        <v>397</v>
      </c>
      <c r="K10" s="140">
        <v>1</v>
      </c>
      <c r="L10" s="47"/>
      <c r="O10" s="47"/>
      <c r="P10" s="133"/>
      <c r="Q10" s="58">
        <f>ROUND((ROUND((ROUND((_11_A通院２０．５*_11・基礎２),0)*_11・２人),0)*(1+_11・A早朝)),0)</f>
        <v>119</v>
      </c>
      <c r="R10" s="59"/>
    </row>
    <row r="11" spans="1:18" ht="16.5" customHeight="1" x14ac:dyDescent="0.2">
      <c r="A11" s="44">
        <v>16</v>
      </c>
      <c r="B11" s="53">
        <v>7199</v>
      </c>
      <c r="C11" s="69" t="s">
        <v>1530</v>
      </c>
      <c r="D11" s="243" t="s">
        <v>1944</v>
      </c>
      <c r="E11" s="272"/>
      <c r="F11" s="62"/>
      <c r="G11" s="132"/>
      <c r="H11" s="61"/>
      <c r="I11" s="109"/>
      <c r="J11" s="56"/>
      <c r="K11" s="57"/>
      <c r="L11" s="47"/>
      <c r="O11" s="62"/>
      <c r="P11" s="136"/>
      <c r="Q11" s="58">
        <f>ROUND((_11_A通院２１．０*(1+_11・A早朝)),0)</f>
        <v>246</v>
      </c>
      <c r="R11" s="59"/>
    </row>
    <row r="12" spans="1:18" ht="16.5" customHeight="1" x14ac:dyDescent="0.2">
      <c r="A12" s="44">
        <v>16</v>
      </c>
      <c r="B12" s="53">
        <v>7200</v>
      </c>
      <c r="C12" s="69" t="s">
        <v>1531</v>
      </c>
      <c r="D12" s="273"/>
      <c r="E12" s="274"/>
      <c r="F12" s="54"/>
      <c r="G12" s="130"/>
      <c r="H12" s="50"/>
      <c r="I12" s="144" t="s">
        <v>396</v>
      </c>
      <c r="J12" s="131" t="s">
        <v>397</v>
      </c>
      <c r="K12" s="140">
        <v>1</v>
      </c>
      <c r="L12" s="47"/>
      <c r="O12" s="47"/>
      <c r="P12" s="133"/>
      <c r="Q12" s="58">
        <f>ROUND((ROUND((_11_A通院２１．０*_11・２人),0)*(1+_11・A早朝)),0)</f>
        <v>246</v>
      </c>
      <c r="R12" s="59"/>
    </row>
    <row r="13" spans="1:18" ht="16.5" customHeight="1" x14ac:dyDescent="0.2">
      <c r="A13" s="44">
        <v>16</v>
      </c>
      <c r="B13" s="53">
        <v>7201</v>
      </c>
      <c r="C13" s="69" t="s">
        <v>1532</v>
      </c>
      <c r="D13" s="273"/>
      <c r="E13" s="274"/>
      <c r="F13" s="241" t="s">
        <v>398</v>
      </c>
      <c r="G13" s="132" t="s">
        <v>397</v>
      </c>
      <c r="H13" s="61">
        <v>0.9</v>
      </c>
      <c r="I13" s="109"/>
      <c r="J13" s="56"/>
      <c r="K13" s="57"/>
      <c r="L13" s="47"/>
      <c r="O13" s="47"/>
      <c r="P13" s="133"/>
      <c r="Q13" s="58">
        <f>ROUND((ROUND((_11_A通院２１．０*_11・基礎２),0)*(1+_11・A早朝)),0)</f>
        <v>221</v>
      </c>
      <c r="R13" s="59"/>
    </row>
    <row r="14" spans="1:18" ht="16.5" customHeight="1" x14ac:dyDescent="0.2">
      <c r="A14" s="44">
        <v>16</v>
      </c>
      <c r="B14" s="53">
        <v>7202</v>
      </c>
      <c r="C14" s="69" t="s">
        <v>1533</v>
      </c>
      <c r="D14" s="142">
        <f>_11_A通院２１．０</f>
        <v>197</v>
      </c>
      <c r="E14" s="137" t="s">
        <v>394</v>
      </c>
      <c r="F14" s="242"/>
      <c r="G14" s="130"/>
      <c r="H14" s="50"/>
      <c r="I14" s="144" t="s">
        <v>396</v>
      </c>
      <c r="J14" s="131" t="s">
        <v>397</v>
      </c>
      <c r="K14" s="140">
        <v>1</v>
      </c>
      <c r="L14" s="47"/>
      <c r="O14" s="47"/>
      <c r="P14" s="133"/>
      <c r="Q14" s="58">
        <f>ROUND((ROUND((ROUND((_11_A通院２１．０*_11・基礎２),0)*_11・２人),0)*(1+_11・A早朝)),0)</f>
        <v>221</v>
      </c>
      <c r="R14" s="59"/>
    </row>
    <row r="15" spans="1:18" ht="16.5" customHeight="1" x14ac:dyDescent="0.2">
      <c r="A15" s="44">
        <v>16</v>
      </c>
      <c r="B15" s="53">
        <v>7203</v>
      </c>
      <c r="C15" s="69" t="s">
        <v>1534</v>
      </c>
      <c r="D15" s="243" t="s">
        <v>1945</v>
      </c>
      <c r="E15" s="272"/>
      <c r="F15" s="62"/>
      <c r="G15" s="132"/>
      <c r="H15" s="61"/>
      <c r="I15" s="109"/>
      <c r="J15" s="56"/>
      <c r="K15" s="57"/>
      <c r="L15" s="47"/>
      <c r="O15" s="62"/>
      <c r="P15" s="136"/>
      <c r="Q15" s="58">
        <f>ROUND((_11_A通院２１．５*(1+_11・A早朝)),0)</f>
        <v>344</v>
      </c>
      <c r="R15" s="59"/>
    </row>
    <row r="16" spans="1:18" ht="16.5" customHeight="1" x14ac:dyDescent="0.2">
      <c r="A16" s="44">
        <v>16</v>
      </c>
      <c r="B16" s="53">
        <v>7204</v>
      </c>
      <c r="C16" s="69" t="s">
        <v>1535</v>
      </c>
      <c r="D16" s="273"/>
      <c r="E16" s="274"/>
      <c r="F16" s="54"/>
      <c r="G16" s="130"/>
      <c r="H16" s="50"/>
      <c r="I16" s="144" t="s">
        <v>396</v>
      </c>
      <c r="J16" s="131" t="s">
        <v>397</v>
      </c>
      <c r="K16" s="140">
        <v>1</v>
      </c>
      <c r="L16" s="47"/>
      <c r="O16" s="47"/>
      <c r="P16" s="133"/>
      <c r="Q16" s="58">
        <f>ROUND((ROUND((_11_A通院２１．５*_11・２人),0)*(1+_11・A早朝)),0)</f>
        <v>344</v>
      </c>
      <c r="R16" s="59"/>
    </row>
    <row r="17" spans="1:18" ht="16.5" customHeight="1" x14ac:dyDescent="0.2">
      <c r="A17" s="44">
        <v>16</v>
      </c>
      <c r="B17" s="53">
        <v>7205</v>
      </c>
      <c r="C17" s="69" t="s">
        <v>1536</v>
      </c>
      <c r="D17" s="273"/>
      <c r="E17" s="274"/>
      <c r="F17" s="241" t="s">
        <v>398</v>
      </c>
      <c r="G17" s="132" t="s">
        <v>397</v>
      </c>
      <c r="H17" s="61">
        <v>0.9</v>
      </c>
      <c r="I17" s="109"/>
      <c r="J17" s="56"/>
      <c r="K17" s="57"/>
      <c r="L17" s="47"/>
      <c r="O17" s="47"/>
      <c r="P17" s="133"/>
      <c r="Q17" s="58">
        <f>ROUND((ROUND((_11_A通院２１．５*_11・基礎２),0)*(1+_11・A早朝)),0)</f>
        <v>310</v>
      </c>
      <c r="R17" s="59"/>
    </row>
    <row r="18" spans="1:18" ht="16.5" customHeight="1" x14ac:dyDescent="0.2">
      <c r="A18" s="44">
        <v>16</v>
      </c>
      <c r="B18" s="53">
        <v>7206</v>
      </c>
      <c r="C18" s="69" t="s">
        <v>1537</v>
      </c>
      <c r="D18" s="142">
        <f>_11_A通院２１．５</f>
        <v>275</v>
      </c>
      <c r="E18" s="137" t="s">
        <v>394</v>
      </c>
      <c r="F18" s="242"/>
      <c r="G18" s="130"/>
      <c r="H18" s="50"/>
      <c r="I18" s="144" t="s">
        <v>396</v>
      </c>
      <c r="J18" s="131" t="s">
        <v>397</v>
      </c>
      <c r="K18" s="140">
        <v>1</v>
      </c>
      <c r="L18" s="47"/>
      <c r="O18" s="47"/>
      <c r="P18" s="133"/>
      <c r="Q18" s="58">
        <f>ROUND((ROUND((ROUND((_11_A通院２１．５*_11・基礎２),0)*_11・２人),0)*(1+_11・A早朝)),0)</f>
        <v>310</v>
      </c>
      <c r="R18" s="59"/>
    </row>
    <row r="19" spans="1:18" ht="16.5" customHeight="1" x14ac:dyDescent="0.2">
      <c r="A19" s="44">
        <v>16</v>
      </c>
      <c r="B19" s="53">
        <v>7207</v>
      </c>
      <c r="C19" s="69" t="s">
        <v>1538</v>
      </c>
      <c r="D19" s="243" t="s">
        <v>1946</v>
      </c>
      <c r="E19" s="272"/>
      <c r="F19" s="62"/>
      <c r="G19" s="132"/>
      <c r="H19" s="61"/>
      <c r="I19" s="109"/>
      <c r="J19" s="56"/>
      <c r="K19" s="57"/>
      <c r="L19" s="47"/>
      <c r="O19" s="62"/>
      <c r="P19" s="136"/>
      <c r="Q19" s="58">
        <f>ROUND((_11_A通院２２．０*(1+_11・A早朝)),0)</f>
        <v>431</v>
      </c>
      <c r="R19" s="59"/>
    </row>
    <row r="20" spans="1:18" ht="16.5" customHeight="1" x14ac:dyDescent="0.2">
      <c r="A20" s="44">
        <v>16</v>
      </c>
      <c r="B20" s="53">
        <v>7208</v>
      </c>
      <c r="C20" s="69" t="s">
        <v>1539</v>
      </c>
      <c r="D20" s="273"/>
      <c r="E20" s="274"/>
      <c r="F20" s="54"/>
      <c r="G20" s="130"/>
      <c r="H20" s="50"/>
      <c r="I20" s="144" t="s">
        <v>396</v>
      </c>
      <c r="J20" s="131" t="s">
        <v>397</v>
      </c>
      <c r="K20" s="140">
        <v>1</v>
      </c>
      <c r="L20" s="47"/>
      <c r="O20" s="47"/>
      <c r="P20" s="133"/>
      <c r="Q20" s="58">
        <f>ROUND((ROUND((_11_A通院２２．０*_11・２人),0)*(1+_11・A早朝)),0)</f>
        <v>431</v>
      </c>
      <c r="R20" s="59"/>
    </row>
    <row r="21" spans="1:18" ht="16.5" customHeight="1" x14ac:dyDescent="0.2">
      <c r="A21" s="44">
        <v>16</v>
      </c>
      <c r="B21" s="53">
        <v>7209</v>
      </c>
      <c r="C21" s="69" t="s">
        <v>1540</v>
      </c>
      <c r="D21" s="273"/>
      <c r="E21" s="274"/>
      <c r="F21" s="241" t="s">
        <v>398</v>
      </c>
      <c r="G21" s="132" t="s">
        <v>397</v>
      </c>
      <c r="H21" s="61">
        <v>0.9</v>
      </c>
      <c r="I21" s="109"/>
      <c r="J21" s="56"/>
      <c r="K21" s="57"/>
      <c r="L21" s="47"/>
      <c r="O21" s="47"/>
      <c r="P21" s="133"/>
      <c r="Q21" s="58">
        <f>ROUND((ROUND((_11_A通院２２．０*_11・基礎２),0)*(1+_11・A早朝)),0)</f>
        <v>389</v>
      </c>
      <c r="R21" s="59"/>
    </row>
    <row r="22" spans="1:18" ht="16.5" customHeight="1" x14ac:dyDescent="0.2">
      <c r="A22" s="44">
        <v>16</v>
      </c>
      <c r="B22" s="53">
        <v>7210</v>
      </c>
      <c r="C22" s="69" t="s">
        <v>1541</v>
      </c>
      <c r="D22" s="142">
        <f>_11_A通院２２．０</f>
        <v>345</v>
      </c>
      <c r="E22" s="137" t="s">
        <v>394</v>
      </c>
      <c r="F22" s="242"/>
      <c r="G22" s="130"/>
      <c r="H22" s="50"/>
      <c r="I22" s="144" t="s">
        <v>396</v>
      </c>
      <c r="J22" s="131" t="s">
        <v>397</v>
      </c>
      <c r="K22" s="140">
        <v>1</v>
      </c>
      <c r="L22" s="47"/>
      <c r="O22" s="47"/>
      <c r="P22" s="133"/>
      <c r="Q22" s="58">
        <f>ROUND((ROUND((ROUND((_11_A通院２２．０*_11・基礎２),0)*_11・２人),0)*(1+_11・A早朝)),0)</f>
        <v>389</v>
      </c>
      <c r="R22" s="59"/>
    </row>
    <row r="23" spans="1:18" ht="16.5" customHeight="1" x14ac:dyDescent="0.2">
      <c r="A23" s="44">
        <v>16</v>
      </c>
      <c r="B23" s="53">
        <v>7211</v>
      </c>
      <c r="C23" s="69" t="s">
        <v>1542</v>
      </c>
      <c r="D23" s="243" t="s">
        <v>1947</v>
      </c>
      <c r="E23" s="272"/>
      <c r="F23" s="62"/>
      <c r="G23" s="132"/>
      <c r="H23" s="61"/>
      <c r="I23" s="109"/>
      <c r="J23" s="56"/>
      <c r="K23" s="57"/>
      <c r="L23" s="47"/>
      <c r="M23" s="175"/>
      <c r="N23" s="176"/>
      <c r="O23" s="62"/>
      <c r="P23" s="136"/>
      <c r="Q23" s="58">
        <f>ROUND((_11_A通院２２．５*(1+_11・A早朝)),0)</f>
        <v>518</v>
      </c>
      <c r="R23" s="59"/>
    </row>
    <row r="24" spans="1:18" ht="16.5" customHeight="1" x14ac:dyDescent="0.2">
      <c r="A24" s="44">
        <v>16</v>
      </c>
      <c r="B24" s="53">
        <v>7212</v>
      </c>
      <c r="C24" s="69" t="s">
        <v>1543</v>
      </c>
      <c r="D24" s="273"/>
      <c r="E24" s="274"/>
      <c r="F24" s="54"/>
      <c r="G24" s="130"/>
      <c r="H24" s="50"/>
      <c r="I24" s="144" t="s">
        <v>396</v>
      </c>
      <c r="J24" s="131" t="s">
        <v>397</v>
      </c>
      <c r="K24" s="140">
        <v>1</v>
      </c>
      <c r="L24" s="47"/>
      <c r="M24" s="175"/>
      <c r="N24" s="176"/>
      <c r="O24" s="47"/>
      <c r="P24" s="133"/>
      <c r="Q24" s="58">
        <f>ROUND((ROUND((_11_A通院２２．５*_11・２人),0)*(1+_11・A早朝)),0)</f>
        <v>518</v>
      </c>
      <c r="R24" s="59"/>
    </row>
    <row r="25" spans="1:18" ht="16.5" customHeight="1" x14ac:dyDescent="0.2">
      <c r="A25" s="44">
        <v>16</v>
      </c>
      <c r="B25" s="53">
        <v>7213</v>
      </c>
      <c r="C25" s="69" t="s">
        <v>1544</v>
      </c>
      <c r="D25" s="273"/>
      <c r="E25" s="274"/>
      <c r="F25" s="241" t="s">
        <v>398</v>
      </c>
      <c r="G25" s="132" t="s">
        <v>397</v>
      </c>
      <c r="H25" s="61">
        <v>0.9</v>
      </c>
      <c r="I25" s="109"/>
      <c r="J25" s="56"/>
      <c r="K25" s="57"/>
      <c r="L25" s="47"/>
      <c r="M25" s="175"/>
      <c r="N25" s="176"/>
      <c r="O25" s="47"/>
      <c r="P25" s="133"/>
      <c r="Q25" s="58">
        <f>ROUND((ROUND((_11_A通院２２．５*_11・基礎２),0)*(1+_11・A早朝)),0)</f>
        <v>466</v>
      </c>
      <c r="R25" s="59"/>
    </row>
    <row r="26" spans="1:18" ht="16.5" customHeight="1" x14ac:dyDescent="0.2">
      <c r="A26" s="44">
        <v>16</v>
      </c>
      <c r="B26" s="53">
        <v>7214</v>
      </c>
      <c r="C26" s="69" t="s">
        <v>1545</v>
      </c>
      <c r="D26" s="143">
        <f>_11_A通院２２．５</f>
        <v>414</v>
      </c>
      <c r="E26" s="141" t="s">
        <v>394</v>
      </c>
      <c r="F26" s="242"/>
      <c r="G26" s="130"/>
      <c r="H26" s="50"/>
      <c r="I26" s="144" t="s">
        <v>396</v>
      </c>
      <c r="J26" s="131" t="s">
        <v>397</v>
      </c>
      <c r="K26" s="140">
        <v>1</v>
      </c>
      <c r="L26" s="54"/>
      <c r="M26" s="49"/>
      <c r="N26" s="50"/>
      <c r="O26" s="54"/>
      <c r="P26" s="135"/>
      <c r="Q26" s="58">
        <f>ROUND((ROUND((ROUND((_11_A通院２２．５*_11・基礎２),0)*_11・２人),0)*(1+_11・A早朝)),0)</f>
        <v>466</v>
      </c>
      <c r="R26" s="111"/>
    </row>
    <row r="27" spans="1:18" ht="16.5" customHeight="1" x14ac:dyDescent="0.2">
      <c r="A27" s="71"/>
      <c r="B27" s="71"/>
      <c r="C27" s="72"/>
      <c r="I27" s="73"/>
      <c r="Q27" s="74"/>
      <c r="R27" s="75"/>
    </row>
    <row r="28" spans="1:18" ht="16.5" customHeight="1" x14ac:dyDescent="0.2">
      <c r="A28" s="71"/>
      <c r="B28" s="71"/>
      <c r="C28" s="72"/>
      <c r="I28" s="73"/>
      <c r="Q28" s="74"/>
      <c r="R28" s="75"/>
    </row>
    <row r="29" spans="1:18" ht="16.5" customHeight="1" x14ac:dyDescent="0.2">
      <c r="A29" s="71"/>
      <c r="B29" s="76" t="s">
        <v>1546</v>
      </c>
      <c r="C29" s="72"/>
      <c r="D29" s="65"/>
      <c r="I29" s="73"/>
      <c r="Q29" s="74"/>
      <c r="R29" s="75"/>
    </row>
    <row r="30" spans="1:18" ht="16.5" customHeight="1" x14ac:dyDescent="0.2">
      <c r="A30" s="77" t="s">
        <v>386</v>
      </c>
      <c r="B30" s="32"/>
      <c r="C30" s="78" t="s">
        <v>387</v>
      </c>
      <c r="D30" s="34"/>
      <c r="E30" s="34"/>
      <c r="F30" s="34"/>
      <c r="G30" s="66"/>
      <c r="H30" s="34" t="s">
        <v>388</v>
      </c>
      <c r="I30" s="146"/>
      <c r="J30" s="34"/>
      <c r="K30" s="35"/>
      <c r="L30" s="34"/>
      <c r="M30" s="34"/>
      <c r="N30" s="35"/>
      <c r="O30" s="34"/>
      <c r="P30" s="35"/>
      <c r="Q30" s="36" t="s">
        <v>389</v>
      </c>
      <c r="R30" s="33" t="s">
        <v>390</v>
      </c>
    </row>
    <row r="31" spans="1:18" ht="16.5" customHeight="1" x14ac:dyDescent="0.2">
      <c r="A31" s="37" t="s">
        <v>391</v>
      </c>
      <c r="B31" s="37" t="s">
        <v>392</v>
      </c>
      <c r="C31" s="79"/>
      <c r="D31" s="40"/>
      <c r="E31" s="40"/>
      <c r="F31" s="40"/>
      <c r="G31" s="129"/>
      <c r="H31" s="41"/>
      <c r="I31" s="147"/>
      <c r="J31" s="40"/>
      <c r="K31" s="41"/>
      <c r="L31" s="40"/>
      <c r="M31" s="40"/>
      <c r="N31" s="41"/>
      <c r="O31" s="40"/>
      <c r="P31" s="41"/>
      <c r="Q31" s="42" t="s">
        <v>393</v>
      </c>
      <c r="R31" s="43" t="s">
        <v>394</v>
      </c>
    </row>
    <row r="32" spans="1:18" ht="16.5" customHeight="1" x14ac:dyDescent="0.2">
      <c r="A32" s="44">
        <v>16</v>
      </c>
      <c r="B32" s="44">
        <v>7215</v>
      </c>
      <c r="C32" s="45" t="s">
        <v>1547</v>
      </c>
      <c r="D32" s="245" t="s">
        <v>1948</v>
      </c>
      <c r="E32" s="274"/>
      <c r="F32" s="47"/>
      <c r="I32" s="64"/>
      <c r="J32" s="49"/>
      <c r="K32" s="50"/>
      <c r="L32" s="47" t="s">
        <v>401</v>
      </c>
      <c r="O32" s="47"/>
      <c r="P32" s="133"/>
      <c r="Q32" s="51">
        <f>ROUND((_11_A通院２０．５*(1+_11・A夜間)),0)</f>
        <v>133</v>
      </c>
      <c r="R32" s="52" t="s">
        <v>395</v>
      </c>
    </row>
    <row r="33" spans="1:18" ht="16.5" customHeight="1" x14ac:dyDescent="0.2">
      <c r="A33" s="44">
        <v>16</v>
      </c>
      <c r="B33" s="53">
        <v>7216</v>
      </c>
      <c r="C33" s="69" t="s">
        <v>1548</v>
      </c>
      <c r="D33" s="273"/>
      <c r="E33" s="274"/>
      <c r="F33" s="54"/>
      <c r="G33" s="130"/>
      <c r="H33" s="50"/>
      <c r="I33" s="144" t="s">
        <v>396</v>
      </c>
      <c r="J33" s="131" t="s">
        <v>397</v>
      </c>
      <c r="K33" s="57">
        <v>1</v>
      </c>
      <c r="L33" s="139" t="s">
        <v>397</v>
      </c>
      <c r="M33" s="26">
        <v>0.25</v>
      </c>
      <c r="N33" s="256" t="s">
        <v>400</v>
      </c>
      <c r="O33" s="47"/>
      <c r="P33" s="133"/>
      <c r="Q33" s="58">
        <f>ROUND((ROUND((_11_A通院２０．５*_11・２人),0)*(1+_11・A夜間)),0)</f>
        <v>133</v>
      </c>
      <c r="R33" s="59"/>
    </row>
    <row r="34" spans="1:18" ht="16.5" customHeight="1" x14ac:dyDescent="0.2">
      <c r="A34" s="44">
        <v>16</v>
      </c>
      <c r="B34" s="53">
        <v>7217</v>
      </c>
      <c r="C34" s="69" t="s">
        <v>1549</v>
      </c>
      <c r="D34" s="273"/>
      <c r="E34" s="274"/>
      <c r="F34" s="241" t="s">
        <v>398</v>
      </c>
      <c r="G34" s="132" t="s">
        <v>397</v>
      </c>
      <c r="H34" s="61">
        <v>0.9</v>
      </c>
      <c r="I34" s="145"/>
      <c r="J34" s="56"/>
      <c r="K34" s="57"/>
      <c r="L34" s="47"/>
      <c r="N34" s="277"/>
      <c r="O34" s="47"/>
      <c r="P34" s="133"/>
      <c r="Q34" s="58">
        <f>ROUND((ROUND((_11_A通院２０．５*_11・基礎２),0)*(1+_11・A夜間)),0)</f>
        <v>119</v>
      </c>
      <c r="R34" s="59"/>
    </row>
    <row r="35" spans="1:18" ht="16.5" customHeight="1" x14ac:dyDescent="0.2">
      <c r="A35" s="44">
        <v>16</v>
      </c>
      <c r="B35" s="53">
        <v>7218</v>
      </c>
      <c r="C35" s="69" t="s">
        <v>1550</v>
      </c>
      <c r="D35" s="142">
        <f>_11_A通院２０．５</f>
        <v>106</v>
      </c>
      <c r="E35" s="137" t="s">
        <v>394</v>
      </c>
      <c r="F35" s="242"/>
      <c r="G35" s="130"/>
      <c r="H35" s="50"/>
      <c r="I35" s="144" t="s">
        <v>396</v>
      </c>
      <c r="J35" s="131" t="s">
        <v>397</v>
      </c>
      <c r="K35" s="57">
        <v>1</v>
      </c>
      <c r="L35" s="47"/>
      <c r="O35" s="47"/>
      <c r="P35" s="133"/>
      <c r="Q35" s="58">
        <f>ROUND((ROUND((ROUND((_11_A通院２０．５*_11・基礎２),0)*_11・２人),0)*(1+_11・A夜間)),0)</f>
        <v>119</v>
      </c>
      <c r="R35" s="59"/>
    </row>
    <row r="36" spans="1:18" ht="16.5" customHeight="1" x14ac:dyDescent="0.2">
      <c r="A36" s="44">
        <v>16</v>
      </c>
      <c r="B36" s="53">
        <v>7219</v>
      </c>
      <c r="C36" s="69" t="s">
        <v>1551</v>
      </c>
      <c r="D36" s="243" t="s">
        <v>1949</v>
      </c>
      <c r="E36" s="272"/>
      <c r="F36" s="62"/>
      <c r="G36" s="132"/>
      <c r="H36" s="61"/>
      <c r="I36" s="145"/>
      <c r="J36" s="56"/>
      <c r="K36" s="57"/>
      <c r="L36" s="47"/>
      <c r="O36" s="62"/>
      <c r="P36" s="136"/>
      <c r="Q36" s="58">
        <f>ROUND((_11_A通院２１．０*(1+_11・A夜間)),0)</f>
        <v>246</v>
      </c>
      <c r="R36" s="59"/>
    </row>
    <row r="37" spans="1:18" ht="16.5" customHeight="1" x14ac:dyDescent="0.2">
      <c r="A37" s="44">
        <v>16</v>
      </c>
      <c r="B37" s="53">
        <v>7220</v>
      </c>
      <c r="C37" s="69" t="s">
        <v>1552</v>
      </c>
      <c r="D37" s="273"/>
      <c r="E37" s="274"/>
      <c r="F37" s="54"/>
      <c r="G37" s="130"/>
      <c r="H37" s="50"/>
      <c r="I37" s="144" t="s">
        <v>396</v>
      </c>
      <c r="J37" s="131" t="s">
        <v>397</v>
      </c>
      <c r="K37" s="140">
        <v>1</v>
      </c>
      <c r="L37" s="47"/>
      <c r="O37" s="47"/>
      <c r="P37" s="133"/>
      <c r="Q37" s="58">
        <f>ROUND((ROUND((_11_A通院２１．０*_11・２人),0)*(1+_11・A夜間)),0)</f>
        <v>246</v>
      </c>
      <c r="R37" s="59"/>
    </row>
    <row r="38" spans="1:18" ht="16.5" customHeight="1" x14ac:dyDescent="0.2">
      <c r="A38" s="44">
        <v>16</v>
      </c>
      <c r="B38" s="53">
        <v>7221</v>
      </c>
      <c r="C38" s="69" t="s">
        <v>1553</v>
      </c>
      <c r="D38" s="273"/>
      <c r="E38" s="274"/>
      <c r="F38" s="241" t="s">
        <v>398</v>
      </c>
      <c r="G38" s="132" t="s">
        <v>397</v>
      </c>
      <c r="H38" s="61">
        <v>0.9</v>
      </c>
      <c r="I38" s="145"/>
      <c r="J38" s="56"/>
      <c r="K38" s="57"/>
      <c r="L38" s="47"/>
      <c r="O38" s="47"/>
      <c r="P38" s="133"/>
      <c r="Q38" s="58">
        <f>ROUND((ROUND((_11_A通院２１．０*_11・基礎２),0)*(1+_11・A夜間)),0)</f>
        <v>221</v>
      </c>
      <c r="R38" s="59"/>
    </row>
    <row r="39" spans="1:18" ht="16.5" customHeight="1" x14ac:dyDescent="0.2">
      <c r="A39" s="44">
        <v>16</v>
      </c>
      <c r="B39" s="53">
        <v>7222</v>
      </c>
      <c r="C39" s="69" t="s">
        <v>1554</v>
      </c>
      <c r="D39" s="142">
        <f>_11_A通院２１．０</f>
        <v>197</v>
      </c>
      <c r="E39" s="137" t="s">
        <v>394</v>
      </c>
      <c r="F39" s="242"/>
      <c r="G39" s="130"/>
      <c r="H39" s="50"/>
      <c r="I39" s="144" t="s">
        <v>396</v>
      </c>
      <c r="J39" s="131" t="s">
        <v>397</v>
      </c>
      <c r="K39" s="140">
        <v>1</v>
      </c>
      <c r="L39" s="47"/>
      <c r="O39" s="47"/>
      <c r="P39" s="133"/>
      <c r="Q39" s="58">
        <f>ROUND((ROUND((ROUND((_11_A通院２１．０*_11・基礎２),0)*_11・２人),0)*(1+_11・A夜間)),0)</f>
        <v>221</v>
      </c>
      <c r="R39" s="59"/>
    </row>
    <row r="40" spans="1:18" ht="16.5" customHeight="1" x14ac:dyDescent="0.2">
      <c r="A40" s="44">
        <v>16</v>
      </c>
      <c r="B40" s="53">
        <v>7223</v>
      </c>
      <c r="C40" s="69" t="s">
        <v>1555</v>
      </c>
      <c r="D40" s="243" t="s">
        <v>1950</v>
      </c>
      <c r="E40" s="272"/>
      <c r="F40" s="62"/>
      <c r="G40" s="132"/>
      <c r="H40" s="61"/>
      <c r="I40" s="145"/>
      <c r="J40" s="56"/>
      <c r="K40" s="57"/>
      <c r="L40" s="47"/>
      <c r="O40" s="62"/>
      <c r="P40" s="136"/>
      <c r="Q40" s="58">
        <f>ROUND((_11_A通院２１．５*(1+_11・A夜間)),0)</f>
        <v>344</v>
      </c>
      <c r="R40" s="59"/>
    </row>
    <row r="41" spans="1:18" ht="16.5" customHeight="1" x14ac:dyDescent="0.2">
      <c r="A41" s="44">
        <v>16</v>
      </c>
      <c r="B41" s="53">
        <v>7224</v>
      </c>
      <c r="C41" s="69" t="s">
        <v>1556</v>
      </c>
      <c r="D41" s="273"/>
      <c r="E41" s="274"/>
      <c r="F41" s="54"/>
      <c r="G41" s="130"/>
      <c r="H41" s="50"/>
      <c r="I41" s="144" t="s">
        <v>396</v>
      </c>
      <c r="J41" s="131" t="s">
        <v>397</v>
      </c>
      <c r="K41" s="140">
        <v>1</v>
      </c>
      <c r="L41" s="47"/>
      <c r="O41" s="47"/>
      <c r="P41" s="133"/>
      <c r="Q41" s="58">
        <f>ROUND((ROUND((_11_A通院２１．５*_11・２人),0)*(1+_11・A夜間)),0)</f>
        <v>344</v>
      </c>
      <c r="R41" s="59"/>
    </row>
    <row r="42" spans="1:18" ht="16.5" customHeight="1" x14ac:dyDescent="0.2">
      <c r="A42" s="44">
        <v>16</v>
      </c>
      <c r="B42" s="53">
        <v>7225</v>
      </c>
      <c r="C42" s="69" t="s">
        <v>1557</v>
      </c>
      <c r="D42" s="273"/>
      <c r="E42" s="274"/>
      <c r="F42" s="241" t="s">
        <v>398</v>
      </c>
      <c r="G42" s="132" t="s">
        <v>397</v>
      </c>
      <c r="H42" s="61">
        <v>0.9</v>
      </c>
      <c r="I42" s="145"/>
      <c r="J42" s="56"/>
      <c r="K42" s="57"/>
      <c r="L42" s="47"/>
      <c r="O42" s="47"/>
      <c r="P42" s="133"/>
      <c r="Q42" s="58">
        <f>ROUND((ROUND((_11_A通院２１．５*_11・基礎２),0)*(1+_11・A夜間)),0)</f>
        <v>310</v>
      </c>
      <c r="R42" s="59"/>
    </row>
    <row r="43" spans="1:18" ht="16.5" customHeight="1" x14ac:dyDescent="0.2">
      <c r="A43" s="44">
        <v>16</v>
      </c>
      <c r="B43" s="53">
        <v>7226</v>
      </c>
      <c r="C43" s="69" t="s">
        <v>1558</v>
      </c>
      <c r="D43" s="142">
        <f>_11_A通院２１．５</f>
        <v>275</v>
      </c>
      <c r="E43" s="137" t="s">
        <v>394</v>
      </c>
      <c r="F43" s="242"/>
      <c r="G43" s="130"/>
      <c r="H43" s="50"/>
      <c r="I43" s="144" t="s">
        <v>396</v>
      </c>
      <c r="J43" s="131" t="s">
        <v>397</v>
      </c>
      <c r="K43" s="140">
        <v>1</v>
      </c>
      <c r="L43" s="47"/>
      <c r="O43" s="47"/>
      <c r="P43" s="133"/>
      <c r="Q43" s="58">
        <f>ROUND((ROUND((ROUND((_11_A通院２１．５*_11・基礎２),0)*_11・２人),0)*(1+_11・A夜間)),0)</f>
        <v>310</v>
      </c>
      <c r="R43" s="59"/>
    </row>
    <row r="44" spans="1:18" ht="16.5" customHeight="1" x14ac:dyDescent="0.2">
      <c r="A44" s="44">
        <v>16</v>
      </c>
      <c r="B44" s="53">
        <v>7227</v>
      </c>
      <c r="C44" s="69" t="s">
        <v>1559</v>
      </c>
      <c r="D44" s="243" t="s">
        <v>1951</v>
      </c>
      <c r="E44" s="272"/>
      <c r="F44" s="62"/>
      <c r="G44" s="132"/>
      <c r="H44" s="61"/>
      <c r="I44" s="145"/>
      <c r="J44" s="56"/>
      <c r="K44" s="57"/>
      <c r="L44" s="47"/>
      <c r="O44" s="62"/>
      <c r="P44" s="136"/>
      <c r="Q44" s="58">
        <f>ROUND((_11_A通院２２．０*(1+_11・A夜間)),0)</f>
        <v>431</v>
      </c>
      <c r="R44" s="59"/>
    </row>
    <row r="45" spans="1:18" ht="16.5" customHeight="1" x14ac:dyDescent="0.2">
      <c r="A45" s="44">
        <v>16</v>
      </c>
      <c r="B45" s="53">
        <v>7228</v>
      </c>
      <c r="C45" s="69" t="s">
        <v>1560</v>
      </c>
      <c r="D45" s="273"/>
      <c r="E45" s="274"/>
      <c r="F45" s="54"/>
      <c r="G45" s="130"/>
      <c r="H45" s="50"/>
      <c r="I45" s="144" t="s">
        <v>396</v>
      </c>
      <c r="J45" s="131" t="s">
        <v>397</v>
      </c>
      <c r="K45" s="140">
        <v>1</v>
      </c>
      <c r="L45" s="47"/>
      <c r="O45" s="47"/>
      <c r="P45" s="133"/>
      <c r="Q45" s="58">
        <f>ROUND((ROUND((_11_A通院２２．０*_11・２人),0)*(1+_11・A夜間)),0)</f>
        <v>431</v>
      </c>
      <c r="R45" s="59"/>
    </row>
    <row r="46" spans="1:18" ht="16.5" customHeight="1" x14ac:dyDescent="0.2">
      <c r="A46" s="44">
        <v>16</v>
      </c>
      <c r="B46" s="53">
        <v>7229</v>
      </c>
      <c r="C46" s="69" t="s">
        <v>1561</v>
      </c>
      <c r="D46" s="273"/>
      <c r="E46" s="274"/>
      <c r="F46" s="241" t="s">
        <v>398</v>
      </c>
      <c r="G46" s="132" t="s">
        <v>397</v>
      </c>
      <c r="H46" s="61">
        <v>0.9</v>
      </c>
      <c r="I46" s="145"/>
      <c r="J46" s="56"/>
      <c r="K46" s="57"/>
      <c r="L46" s="47"/>
      <c r="O46" s="47"/>
      <c r="P46" s="133"/>
      <c r="Q46" s="58">
        <f>ROUND((ROUND((_11_A通院２２．０*_11・基礎２),0)*(1+_11・A夜間)),0)</f>
        <v>389</v>
      </c>
      <c r="R46" s="59"/>
    </row>
    <row r="47" spans="1:18" ht="16.5" customHeight="1" x14ac:dyDescent="0.2">
      <c r="A47" s="44">
        <v>16</v>
      </c>
      <c r="B47" s="53">
        <v>7230</v>
      </c>
      <c r="C47" s="69" t="s">
        <v>1562</v>
      </c>
      <c r="D47" s="142">
        <f>_11_A通院２２．０</f>
        <v>345</v>
      </c>
      <c r="E47" s="137" t="s">
        <v>394</v>
      </c>
      <c r="F47" s="242"/>
      <c r="G47" s="130"/>
      <c r="H47" s="50"/>
      <c r="I47" s="144" t="s">
        <v>396</v>
      </c>
      <c r="J47" s="131" t="s">
        <v>397</v>
      </c>
      <c r="K47" s="140">
        <v>1</v>
      </c>
      <c r="L47" s="47"/>
      <c r="O47" s="47"/>
      <c r="P47" s="133"/>
      <c r="Q47" s="58">
        <f>ROUND((ROUND((ROUND((_11_A通院２２．０*_11・基礎２),0)*_11・２人),0)*(1+_11・A夜間)),0)</f>
        <v>389</v>
      </c>
      <c r="R47" s="59"/>
    </row>
    <row r="48" spans="1:18" ht="16.5" customHeight="1" x14ac:dyDescent="0.2">
      <c r="A48" s="44">
        <v>16</v>
      </c>
      <c r="B48" s="44">
        <v>7231</v>
      </c>
      <c r="C48" s="45" t="s">
        <v>1563</v>
      </c>
      <c r="D48" s="245" t="s">
        <v>1952</v>
      </c>
      <c r="E48" s="274"/>
      <c r="F48" s="47"/>
      <c r="I48" s="64"/>
      <c r="J48" s="49"/>
      <c r="K48" s="50"/>
      <c r="L48" s="47"/>
      <c r="N48" s="133"/>
      <c r="O48" s="47"/>
      <c r="P48" s="133"/>
      <c r="Q48" s="51">
        <f>ROUND((_11_A通院２２．５*(1+_11・A夜間)),0)</f>
        <v>518</v>
      </c>
      <c r="R48" s="59"/>
    </row>
    <row r="49" spans="1:18" ht="16.5" customHeight="1" x14ac:dyDescent="0.2">
      <c r="A49" s="44">
        <v>16</v>
      </c>
      <c r="B49" s="53">
        <v>7232</v>
      </c>
      <c r="C49" s="69" t="s">
        <v>1564</v>
      </c>
      <c r="D49" s="273"/>
      <c r="E49" s="274"/>
      <c r="F49" s="54"/>
      <c r="G49" s="130"/>
      <c r="H49" s="50"/>
      <c r="I49" s="144" t="s">
        <v>396</v>
      </c>
      <c r="J49" s="131" t="s">
        <v>397</v>
      </c>
      <c r="K49" s="140">
        <v>1</v>
      </c>
      <c r="L49" s="47"/>
      <c r="N49" s="133"/>
      <c r="O49" s="47"/>
      <c r="P49" s="133"/>
      <c r="Q49" s="58">
        <f>ROUND((ROUND((_11_A通院２２．５*_11・２人),0)*(1+_11・A夜間)),0)</f>
        <v>518</v>
      </c>
      <c r="R49" s="59"/>
    </row>
    <row r="50" spans="1:18" ht="16.5" customHeight="1" x14ac:dyDescent="0.2">
      <c r="A50" s="44">
        <v>16</v>
      </c>
      <c r="B50" s="53">
        <v>7233</v>
      </c>
      <c r="C50" s="69" t="s">
        <v>1565</v>
      </c>
      <c r="D50" s="273"/>
      <c r="E50" s="274"/>
      <c r="F50" s="241" t="s">
        <v>398</v>
      </c>
      <c r="G50" s="132" t="s">
        <v>397</v>
      </c>
      <c r="H50" s="61">
        <v>0.9</v>
      </c>
      <c r="I50" s="145"/>
      <c r="J50" s="56"/>
      <c r="K50" s="57"/>
      <c r="L50" s="47"/>
      <c r="O50" s="47"/>
      <c r="P50" s="133"/>
      <c r="Q50" s="58">
        <f>ROUND((ROUND((_11_A通院２２．５*_11・基礎２),0)*(1+_11・A夜間)),0)</f>
        <v>466</v>
      </c>
      <c r="R50" s="59"/>
    </row>
    <row r="51" spans="1:18" ht="16.5" customHeight="1" x14ac:dyDescent="0.2">
      <c r="A51" s="44">
        <v>16</v>
      </c>
      <c r="B51" s="53">
        <v>7234</v>
      </c>
      <c r="C51" s="69" t="s">
        <v>1566</v>
      </c>
      <c r="D51" s="142">
        <f>_11_A通院２２．５</f>
        <v>414</v>
      </c>
      <c r="E51" s="137" t="s">
        <v>394</v>
      </c>
      <c r="F51" s="242"/>
      <c r="G51" s="130"/>
      <c r="H51" s="50"/>
      <c r="I51" s="144" t="s">
        <v>396</v>
      </c>
      <c r="J51" s="131" t="s">
        <v>397</v>
      </c>
      <c r="K51" s="140">
        <v>1</v>
      </c>
      <c r="L51" s="47"/>
      <c r="O51" s="47"/>
      <c r="P51" s="133"/>
      <c r="Q51" s="58">
        <f>ROUND((ROUND((ROUND((_11_A通院２２．５*_11・基礎２),0)*_11・２人),0)*(1+_11・A夜間)),0)</f>
        <v>466</v>
      </c>
      <c r="R51" s="59"/>
    </row>
    <row r="52" spans="1:18" ht="16.5" customHeight="1" x14ac:dyDescent="0.2">
      <c r="A52" s="44">
        <v>16</v>
      </c>
      <c r="B52" s="53">
        <v>7235</v>
      </c>
      <c r="C52" s="69" t="s">
        <v>1567</v>
      </c>
      <c r="D52" s="243" t="s">
        <v>1953</v>
      </c>
      <c r="E52" s="272"/>
      <c r="F52" s="62"/>
      <c r="G52" s="132"/>
      <c r="H52" s="61"/>
      <c r="I52" s="145"/>
      <c r="J52" s="56"/>
      <c r="K52" s="57"/>
      <c r="L52" s="47"/>
      <c r="O52" s="62"/>
      <c r="P52" s="136"/>
      <c r="Q52" s="58">
        <f>ROUND((_11_A通院２３．０*(1+_11・A夜間)),0)</f>
        <v>604</v>
      </c>
      <c r="R52" s="59"/>
    </row>
    <row r="53" spans="1:18" ht="16.5" customHeight="1" x14ac:dyDescent="0.2">
      <c r="A53" s="44">
        <v>16</v>
      </c>
      <c r="B53" s="53">
        <v>7236</v>
      </c>
      <c r="C53" s="69" t="s">
        <v>1568</v>
      </c>
      <c r="D53" s="273"/>
      <c r="E53" s="274"/>
      <c r="F53" s="54"/>
      <c r="G53" s="130"/>
      <c r="H53" s="50"/>
      <c r="I53" s="144" t="s">
        <v>396</v>
      </c>
      <c r="J53" s="131" t="s">
        <v>397</v>
      </c>
      <c r="K53" s="140">
        <v>1</v>
      </c>
      <c r="L53" s="47"/>
      <c r="O53" s="47"/>
      <c r="P53" s="133"/>
      <c r="Q53" s="58">
        <f>ROUND((ROUND((_11_A通院２３．０*_11・２人),0)*(1+_11・A夜間)),0)</f>
        <v>604</v>
      </c>
      <c r="R53" s="59"/>
    </row>
    <row r="54" spans="1:18" ht="16.5" customHeight="1" x14ac:dyDescent="0.2">
      <c r="A54" s="44">
        <v>16</v>
      </c>
      <c r="B54" s="53">
        <v>7237</v>
      </c>
      <c r="C54" s="69" t="s">
        <v>1569</v>
      </c>
      <c r="D54" s="273"/>
      <c r="E54" s="274"/>
      <c r="F54" s="241" t="s">
        <v>398</v>
      </c>
      <c r="G54" s="132" t="s">
        <v>397</v>
      </c>
      <c r="H54" s="61">
        <v>0.9</v>
      </c>
      <c r="I54" s="145"/>
      <c r="J54" s="56"/>
      <c r="K54" s="57"/>
      <c r="L54" s="47"/>
      <c r="O54" s="47"/>
      <c r="P54" s="133"/>
      <c r="Q54" s="58">
        <f>ROUND((ROUND((_11_A通院２３．０*_11・基礎２),0)*(1+_11・A夜間)),0)</f>
        <v>544</v>
      </c>
      <c r="R54" s="59"/>
    </row>
    <row r="55" spans="1:18" ht="16.5" customHeight="1" x14ac:dyDescent="0.2">
      <c r="A55" s="44">
        <v>16</v>
      </c>
      <c r="B55" s="53">
        <v>7238</v>
      </c>
      <c r="C55" s="69" t="s">
        <v>1570</v>
      </c>
      <c r="D55" s="142">
        <f>_11_A通院２３．０</f>
        <v>483</v>
      </c>
      <c r="E55" s="137" t="s">
        <v>394</v>
      </c>
      <c r="F55" s="242"/>
      <c r="G55" s="130"/>
      <c r="H55" s="50"/>
      <c r="I55" s="144" t="s">
        <v>396</v>
      </c>
      <c r="J55" s="131" t="s">
        <v>397</v>
      </c>
      <c r="K55" s="140">
        <v>1</v>
      </c>
      <c r="L55" s="47"/>
      <c r="O55" s="47"/>
      <c r="P55" s="133"/>
      <c r="Q55" s="58">
        <f>ROUND((ROUND((ROUND((_11_A通院２３．０*_11・基礎２),0)*_11・２人),0)*(1+_11・A夜間)),0)</f>
        <v>544</v>
      </c>
      <c r="R55" s="59"/>
    </row>
    <row r="56" spans="1:18" ht="16.5" customHeight="1" x14ac:dyDescent="0.2">
      <c r="A56" s="44">
        <v>16</v>
      </c>
      <c r="B56" s="53">
        <v>7239</v>
      </c>
      <c r="C56" s="69" t="s">
        <v>1571</v>
      </c>
      <c r="D56" s="243" t="s">
        <v>1954</v>
      </c>
      <c r="E56" s="272"/>
      <c r="F56" s="62"/>
      <c r="G56" s="132"/>
      <c r="H56" s="61"/>
      <c r="I56" s="145"/>
      <c r="J56" s="56"/>
      <c r="K56" s="57"/>
      <c r="L56" s="47"/>
      <c r="O56" s="62"/>
      <c r="P56" s="136"/>
      <c r="Q56" s="58">
        <f>ROUND((_11_A通院２３．５*(1+_11・A夜間)),0)</f>
        <v>690</v>
      </c>
      <c r="R56" s="59"/>
    </row>
    <row r="57" spans="1:18" ht="16.5" customHeight="1" x14ac:dyDescent="0.2">
      <c r="A57" s="44">
        <v>16</v>
      </c>
      <c r="B57" s="53">
        <v>7240</v>
      </c>
      <c r="C57" s="69" t="s">
        <v>1572</v>
      </c>
      <c r="D57" s="273"/>
      <c r="E57" s="274"/>
      <c r="F57" s="54"/>
      <c r="G57" s="130"/>
      <c r="H57" s="50"/>
      <c r="I57" s="144" t="s">
        <v>396</v>
      </c>
      <c r="J57" s="131" t="s">
        <v>397</v>
      </c>
      <c r="K57" s="140">
        <v>1</v>
      </c>
      <c r="L57" s="47"/>
      <c r="O57" s="47"/>
      <c r="P57" s="133"/>
      <c r="Q57" s="58">
        <f>ROUND((ROUND((_11_A通院２３．５*_11・２人),0)*(1+_11・A夜間)),0)</f>
        <v>690</v>
      </c>
      <c r="R57" s="59"/>
    </row>
    <row r="58" spans="1:18" ht="16.5" customHeight="1" x14ac:dyDescent="0.2">
      <c r="A58" s="44">
        <v>16</v>
      </c>
      <c r="B58" s="53">
        <v>7241</v>
      </c>
      <c r="C58" s="69" t="s">
        <v>1573</v>
      </c>
      <c r="D58" s="273"/>
      <c r="E58" s="274"/>
      <c r="F58" s="241" t="s">
        <v>398</v>
      </c>
      <c r="G58" s="132" t="s">
        <v>397</v>
      </c>
      <c r="H58" s="61">
        <v>0.9</v>
      </c>
      <c r="I58" s="145"/>
      <c r="J58" s="56"/>
      <c r="K58" s="57"/>
      <c r="L58" s="47"/>
      <c r="O58" s="47"/>
      <c r="P58" s="133"/>
      <c r="Q58" s="58">
        <f>ROUND((ROUND((_11_A通院２３．５*_11・基礎２),0)*(1+_11・A夜間)),0)</f>
        <v>621</v>
      </c>
      <c r="R58" s="59"/>
    </row>
    <row r="59" spans="1:18" ht="16.5" customHeight="1" x14ac:dyDescent="0.2">
      <c r="A59" s="44">
        <v>16</v>
      </c>
      <c r="B59" s="53">
        <v>7242</v>
      </c>
      <c r="C59" s="69" t="s">
        <v>1574</v>
      </c>
      <c r="D59" s="142">
        <f>_11_A通院２３．５</f>
        <v>552</v>
      </c>
      <c r="E59" s="137" t="s">
        <v>394</v>
      </c>
      <c r="F59" s="242"/>
      <c r="G59" s="130"/>
      <c r="H59" s="50"/>
      <c r="I59" s="144" t="s">
        <v>396</v>
      </c>
      <c r="J59" s="131" t="s">
        <v>397</v>
      </c>
      <c r="K59" s="140">
        <v>1</v>
      </c>
      <c r="L59" s="47"/>
      <c r="O59" s="47"/>
      <c r="P59" s="133"/>
      <c r="Q59" s="58">
        <f>ROUND((ROUND((ROUND((_11_A通院２３．５*_11・基礎２),0)*_11・２人),0)*(1+_11・A夜間)),0)</f>
        <v>621</v>
      </c>
      <c r="R59" s="59"/>
    </row>
    <row r="60" spans="1:18" ht="16.5" customHeight="1" x14ac:dyDescent="0.2">
      <c r="A60" s="44">
        <v>16</v>
      </c>
      <c r="B60" s="53">
        <v>7243</v>
      </c>
      <c r="C60" s="69" t="s">
        <v>1575</v>
      </c>
      <c r="D60" s="243" t="s">
        <v>1955</v>
      </c>
      <c r="E60" s="272"/>
      <c r="F60" s="62"/>
      <c r="G60" s="132"/>
      <c r="H60" s="61"/>
      <c r="I60" s="145"/>
      <c r="J60" s="56"/>
      <c r="K60" s="57"/>
      <c r="L60" s="47"/>
      <c r="O60" s="62"/>
      <c r="P60" s="136"/>
      <c r="Q60" s="58">
        <f>ROUND((_11_A通院２４．０*(1+_11・A夜間)),0)</f>
        <v>776</v>
      </c>
      <c r="R60" s="59"/>
    </row>
    <row r="61" spans="1:18" ht="16.5" customHeight="1" x14ac:dyDescent="0.2">
      <c r="A61" s="44">
        <v>16</v>
      </c>
      <c r="B61" s="53">
        <v>7244</v>
      </c>
      <c r="C61" s="69" t="s">
        <v>1576</v>
      </c>
      <c r="D61" s="273"/>
      <c r="E61" s="274"/>
      <c r="F61" s="54"/>
      <c r="G61" s="130"/>
      <c r="H61" s="50"/>
      <c r="I61" s="144" t="s">
        <v>396</v>
      </c>
      <c r="J61" s="131" t="s">
        <v>397</v>
      </c>
      <c r="K61" s="140">
        <v>1</v>
      </c>
      <c r="L61" s="47"/>
      <c r="O61" s="47"/>
      <c r="P61" s="133"/>
      <c r="Q61" s="58">
        <f>ROUND((ROUND((_11_A通院２４．０*_11・２人),0)*(1+_11・A夜間)),0)</f>
        <v>776</v>
      </c>
      <c r="R61" s="59"/>
    </row>
    <row r="62" spans="1:18" ht="16.5" customHeight="1" x14ac:dyDescent="0.2">
      <c r="A62" s="44">
        <v>16</v>
      </c>
      <c r="B62" s="53">
        <v>7245</v>
      </c>
      <c r="C62" s="69" t="s">
        <v>1577</v>
      </c>
      <c r="D62" s="273"/>
      <c r="E62" s="274"/>
      <c r="F62" s="241" t="s">
        <v>398</v>
      </c>
      <c r="G62" s="132" t="s">
        <v>397</v>
      </c>
      <c r="H62" s="61">
        <v>0.9</v>
      </c>
      <c r="I62" s="145"/>
      <c r="J62" s="56"/>
      <c r="K62" s="57"/>
      <c r="L62" s="47"/>
      <c r="O62" s="47"/>
      <c r="P62" s="133"/>
      <c r="Q62" s="58">
        <f>ROUND((ROUND((_11_A通院２４．０*_11・基礎２),0)*(1+_11・A夜間)),0)</f>
        <v>699</v>
      </c>
      <c r="R62" s="59"/>
    </row>
    <row r="63" spans="1:18" ht="16.5" customHeight="1" x14ac:dyDescent="0.2">
      <c r="A63" s="44">
        <v>16</v>
      </c>
      <c r="B63" s="53">
        <v>7246</v>
      </c>
      <c r="C63" s="69" t="s">
        <v>1578</v>
      </c>
      <c r="D63" s="142">
        <f>_11_A通院２４．０</f>
        <v>621</v>
      </c>
      <c r="E63" s="137" t="s">
        <v>394</v>
      </c>
      <c r="F63" s="242"/>
      <c r="G63" s="130"/>
      <c r="H63" s="50"/>
      <c r="I63" s="144" t="s">
        <v>396</v>
      </c>
      <c r="J63" s="131" t="s">
        <v>397</v>
      </c>
      <c r="K63" s="140">
        <v>1</v>
      </c>
      <c r="L63" s="47"/>
      <c r="O63" s="47"/>
      <c r="P63" s="133"/>
      <c r="Q63" s="58">
        <f>ROUND((ROUND((ROUND((_11_A通院２４．０*_11・基礎２),0)*_11・２人),0)*(1+_11・A夜間)),0)</f>
        <v>699</v>
      </c>
      <c r="R63" s="59"/>
    </row>
    <row r="64" spans="1:18" ht="16.5" customHeight="1" x14ac:dyDescent="0.2">
      <c r="A64" s="44">
        <v>16</v>
      </c>
      <c r="B64" s="53">
        <v>7247</v>
      </c>
      <c r="C64" s="69" t="s">
        <v>1579</v>
      </c>
      <c r="D64" s="243" t="s">
        <v>1956</v>
      </c>
      <c r="E64" s="272"/>
      <c r="F64" s="62"/>
      <c r="G64" s="132"/>
      <c r="H64" s="61"/>
      <c r="I64" s="145"/>
      <c r="J64" s="56"/>
      <c r="K64" s="57"/>
      <c r="L64" s="47"/>
      <c r="M64" s="175"/>
      <c r="N64" s="176"/>
      <c r="O64" s="62"/>
      <c r="P64" s="136"/>
      <c r="Q64" s="58">
        <f>ROUND((_11_A通院２４．５*(1+_11・A夜間)),0)</f>
        <v>863</v>
      </c>
      <c r="R64" s="59"/>
    </row>
    <row r="65" spans="1:18" ht="16.5" customHeight="1" x14ac:dyDescent="0.2">
      <c r="A65" s="44">
        <v>16</v>
      </c>
      <c r="B65" s="53">
        <v>7248</v>
      </c>
      <c r="C65" s="69" t="s">
        <v>1580</v>
      </c>
      <c r="D65" s="273"/>
      <c r="E65" s="274"/>
      <c r="F65" s="54"/>
      <c r="G65" s="130"/>
      <c r="H65" s="50"/>
      <c r="I65" s="144" t="s">
        <v>396</v>
      </c>
      <c r="J65" s="131" t="s">
        <v>397</v>
      </c>
      <c r="K65" s="140">
        <v>1</v>
      </c>
      <c r="L65" s="47"/>
      <c r="M65" s="175"/>
      <c r="N65" s="176"/>
      <c r="O65" s="47"/>
      <c r="P65" s="133"/>
      <c r="Q65" s="58">
        <f>ROUND((ROUND((_11_A通院２４．５*_11・２人),0)*(1+_11・A夜間)),0)</f>
        <v>863</v>
      </c>
      <c r="R65" s="59"/>
    </row>
    <row r="66" spans="1:18" ht="16.5" customHeight="1" x14ac:dyDescent="0.2">
      <c r="A66" s="44">
        <v>16</v>
      </c>
      <c r="B66" s="53">
        <v>7249</v>
      </c>
      <c r="C66" s="69" t="s">
        <v>1581</v>
      </c>
      <c r="D66" s="273"/>
      <c r="E66" s="274"/>
      <c r="F66" s="241" t="s">
        <v>398</v>
      </c>
      <c r="G66" s="132" t="s">
        <v>397</v>
      </c>
      <c r="H66" s="61">
        <v>0.9</v>
      </c>
      <c r="I66" s="145"/>
      <c r="J66" s="56"/>
      <c r="K66" s="57"/>
      <c r="L66" s="47"/>
      <c r="M66" s="175"/>
      <c r="N66" s="176"/>
      <c r="O66" s="47"/>
      <c r="P66" s="133"/>
      <c r="Q66" s="58">
        <f>ROUND((ROUND((_11_A通院２４．５*_11・基礎２),0)*(1+_11・A夜間)),0)</f>
        <v>776</v>
      </c>
      <c r="R66" s="59"/>
    </row>
    <row r="67" spans="1:18" ht="16.5" customHeight="1" x14ac:dyDescent="0.2">
      <c r="A67" s="44">
        <v>16</v>
      </c>
      <c r="B67" s="53">
        <v>7250</v>
      </c>
      <c r="C67" s="69" t="s">
        <v>1582</v>
      </c>
      <c r="D67" s="143">
        <f>_11_A通院２４．５</f>
        <v>690</v>
      </c>
      <c r="E67" s="141" t="s">
        <v>394</v>
      </c>
      <c r="F67" s="242"/>
      <c r="G67" s="130"/>
      <c r="H67" s="50"/>
      <c r="I67" s="144" t="s">
        <v>396</v>
      </c>
      <c r="J67" s="131" t="s">
        <v>397</v>
      </c>
      <c r="K67" s="140">
        <v>1</v>
      </c>
      <c r="L67" s="54"/>
      <c r="M67" s="49"/>
      <c r="N67" s="50"/>
      <c r="O67" s="54"/>
      <c r="P67" s="135"/>
      <c r="Q67" s="58">
        <f>ROUND((ROUND((ROUND((_11_A通院２４．５*_11・基礎２),0)*_11・２人),0)*(1+_11・A夜間)),0)</f>
        <v>776</v>
      </c>
      <c r="R67" s="111"/>
    </row>
    <row r="68" spans="1:18" ht="16.5" customHeight="1" x14ac:dyDescent="0.2"/>
    <row r="69" spans="1:18" ht="16.5" customHeight="1" x14ac:dyDescent="0.2"/>
  </sheetData>
  <mergeCells count="30">
    <mergeCell ref="D7:E9"/>
    <mergeCell ref="N8:N9"/>
    <mergeCell ref="F9:F10"/>
    <mergeCell ref="N33:N34"/>
    <mergeCell ref="F34:F35"/>
    <mergeCell ref="D15:E17"/>
    <mergeCell ref="F17:F18"/>
    <mergeCell ref="D11:E13"/>
    <mergeCell ref="F13:F14"/>
    <mergeCell ref="D36:E38"/>
    <mergeCell ref="F38:F39"/>
    <mergeCell ref="D40:E42"/>
    <mergeCell ref="F42:F43"/>
    <mergeCell ref="D19:E21"/>
    <mergeCell ref="F21:F22"/>
    <mergeCell ref="D23:E25"/>
    <mergeCell ref="F25:F26"/>
    <mergeCell ref="D32:E34"/>
    <mergeCell ref="D48:E50"/>
    <mergeCell ref="F50:F51"/>
    <mergeCell ref="D52:E54"/>
    <mergeCell ref="F54:F55"/>
    <mergeCell ref="D44:E46"/>
    <mergeCell ref="F46:F47"/>
    <mergeCell ref="D60:E62"/>
    <mergeCell ref="F62:F63"/>
    <mergeCell ref="D64:E66"/>
    <mergeCell ref="F66:F67"/>
    <mergeCell ref="D56:E58"/>
    <mergeCell ref="F58:F5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7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60"/>
  <sheetViews>
    <sheetView workbookViewId="0"/>
  </sheetViews>
  <sheetFormatPr defaultColWidth="8.90625" defaultRowHeight="14" x14ac:dyDescent="0.2"/>
  <cols>
    <col min="1" max="1" width="4.6328125" style="22" customWidth="1"/>
    <col min="2" max="2" width="7.6328125" style="22" customWidth="1"/>
    <col min="3" max="3" width="37.453125" style="23" customWidth="1"/>
    <col min="4" max="4" width="4.90625" style="23" customWidth="1"/>
    <col min="5" max="5" width="4.90625" style="25" customWidth="1"/>
    <col min="6" max="6" width="12.6328125" style="25" customWidth="1"/>
    <col min="7" max="7" width="2.453125" style="25" customWidth="1"/>
    <col min="8" max="8" width="4.453125" style="26" bestFit="1" customWidth="1"/>
    <col min="9" max="9" width="32.6328125" style="25" bestFit="1" customWidth="1"/>
    <col min="10" max="10" width="2.453125" style="25" customWidth="1"/>
    <col min="11" max="11" width="5.453125" style="26" bestFit="1" customWidth="1"/>
    <col min="12" max="12" width="2.6328125" style="25" customWidth="1"/>
    <col min="13" max="13" width="3.90625" style="25" customWidth="1"/>
    <col min="14" max="14" width="4.453125" style="26" bestFit="1" customWidth="1"/>
    <col min="15" max="15" width="9.90625" style="25" customWidth="1"/>
    <col min="16" max="16" width="4.453125" style="26" bestFit="1" customWidth="1"/>
    <col min="17" max="17" width="7.08984375" style="28" customWidth="1"/>
    <col min="18" max="18" width="8.6328125" style="29" customWidth="1"/>
    <col min="19" max="16384" width="8.90625" style="25"/>
  </cols>
  <sheetData>
    <row r="1" spans="1:18" ht="17.149999999999999" customHeight="1" x14ac:dyDescent="0.2"/>
    <row r="2" spans="1:18" ht="17.149999999999999" customHeight="1" x14ac:dyDescent="0.2"/>
    <row r="3" spans="1:18" ht="17.149999999999999" customHeight="1" x14ac:dyDescent="0.2"/>
    <row r="4" spans="1:18" ht="17.149999999999999" customHeight="1" x14ac:dyDescent="0.2">
      <c r="B4" s="30" t="s">
        <v>1635</v>
      </c>
      <c r="D4" s="65"/>
    </row>
    <row r="5" spans="1:18" ht="16.5" customHeight="1" x14ac:dyDescent="0.2">
      <c r="A5" s="31" t="s">
        <v>386</v>
      </c>
      <c r="B5" s="32"/>
      <c r="C5" s="33" t="s">
        <v>387</v>
      </c>
      <c r="D5" s="34" t="s">
        <v>388</v>
      </c>
      <c r="E5" s="34"/>
      <c r="F5" s="34"/>
      <c r="G5" s="34"/>
      <c r="H5" s="35"/>
      <c r="I5" s="34"/>
      <c r="J5" s="34"/>
      <c r="K5" s="35"/>
      <c r="L5" s="34"/>
      <c r="M5" s="34"/>
      <c r="N5" s="35"/>
      <c r="O5" s="34"/>
      <c r="P5" s="35"/>
      <c r="Q5" s="36" t="s">
        <v>389</v>
      </c>
      <c r="R5" s="33" t="s">
        <v>390</v>
      </c>
    </row>
    <row r="6" spans="1:18" ht="16.5" customHeight="1" x14ac:dyDescent="0.2">
      <c r="A6" s="37" t="s">
        <v>391</v>
      </c>
      <c r="B6" s="37" t="s">
        <v>392</v>
      </c>
      <c r="C6" s="38"/>
      <c r="D6" s="40"/>
      <c r="E6" s="40"/>
      <c r="F6" s="40"/>
      <c r="G6" s="40"/>
      <c r="H6" s="41"/>
      <c r="I6" s="40"/>
      <c r="J6" s="40"/>
      <c r="K6" s="41"/>
      <c r="L6" s="40"/>
      <c r="M6" s="40"/>
      <c r="N6" s="41"/>
      <c r="O6" s="40"/>
      <c r="P6" s="41"/>
      <c r="Q6" s="42" t="s">
        <v>393</v>
      </c>
      <c r="R6" s="43" t="s">
        <v>394</v>
      </c>
    </row>
    <row r="7" spans="1:18" ht="16.5" customHeight="1" x14ac:dyDescent="0.2">
      <c r="A7" s="44">
        <v>16</v>
      </c>
      <c r="B7" s="44">
        <v>7251</v>
      </c>
      <c r="C7" s="45" t="s">
        <v>1583</v>
      </c>
      <c r="D7" s="245" t="s">
        <v>1957</v>
      </c>
      <c r="E7" s="274"/>
      <c r="F7" s="47"/>
      <c r="I7" s="54"/>
      <c r="J7" s="49"/>
      <c r="K7" s="50"/>
      <c r="L7" s="47" t="s">
        <v>402</v>
      </c>
      <c r="O7" s="47"/>
      <c r="P7" s="133"/>
      <c r="Q7" s="51">
        <f>ROUND((_11_A通院２０．５*(1+_11・A深夜)),0)</f>
        <v>159</v>
      </c>
      <c r="R7" s="52" t="s">
        <v>395</v>
      </c>
    </row>
    <row r="8" spans="1:18" ht="16.5" customHeight="1" x14ac:dyDescent="0.2">
      <c r="A8" s="44">
        <v>16</v>
      </c>
      <c r="B8" s="53">
        <v>7252</v>
      </c>
      <c r="C8" s="69" t="s">
        <v>1584</v>
      </c>
      <c r="D8" s="273"/>
      <c r="E8" s="274"/>
      <c r="F8" s="54"/>
      <c r="G8" s="49"/>
      <c r="H8" s="50"/>
      <c r="I8" s="144" t="s">
        <v>396</v>
      </c>
      <c r="J8" s="131" t="s">
        <v>397</v>
      </c>
      <c r="K8" s="57">
        <v>1</v>
      </c>
      <c r="L8" s="139" t="s">
        <v>397</v>
      </c>
      <c r="M8" s="26">
        <v>0.5</v>
      </c>
      <c r="N8" s="256" t="s">
        <v>400</v>
      </c>
      <c r="O8" s="47"/>
      <c r="P8" s="133"/>
      <c r="Q8" s="58">
        <f>ROUND((ROUND((_11_A通院２０．５*_11・２人),0)*(1+_11・A深夜)),0)</f>
        <v>159</v>
      </c>
      <c r="R8" s="59"/>
    </row>
    <row r="9" spans="1:18" ht="16.5" customHeight="1" x14ac:dyDescent="0.2">
      <c r="A9" s="44">
        <v>16</v>
      </c>
      <c r="B9" s="53">
        <v>7253</v>
      </c>
      <c r="C9" s="69" t="s">
        <v>1585</v>
      </c>
      <c r="D9" s="273"/>
      <c r="E9" s="274"/>
      <c r="F9" s="241" t="s">
        <v>398</v>
      </c>
      <c r="G9" s="132" t="s">
        <v>397</v>
      </c>
      <c r="H9" s="136">
        <v>0.9</v>
      </c>
      <c r="I9" s="109"/>
      <c r="J9" s="56"/>
      <c r="K9" s="57"/>
      <c r="L9" s="47"/>
      <c r="N9" s="277"/>
      <c r="O9" s="47"/>
      <c r="P9" s="133"/>
      <c r="Q9" s="58">
        <f>ROUND((ROUND((_11_A通院２０．５*_11・基礎２),0)*(1+_11・A深夜)),0)</f>
        <v>143</v>
      </c>
      <c r="R9" s="59"/>
    </row>
    <row r="10" spans="1:18" ht="16.5" customHeight="1" x14ac:dyDescent="0.2">
      <c r="A10" s="44">
        <v>16</v>
      </c>
      <c r="B10" s="53">
        <v>7254</v>
      </c>
      <c r="C10" s="69" t="s">
        <v>1586</v>
      </c>
      <c r="D10" s="142">
        <f>_11_A通院２０．５</f>
        <v>106</v>
      </c>
      <c r="E10" s="23" t="s">
        <v>394</v>
      </c>
      <c r="F10" s="276"/>
      <c r="G10" s="49"/>
      <c r="H10" s="135"/>
      <c r="I10" s="144" t="s">
        <v>396</v>
      </c>
      <c r="J10" s="131" t="s">
        <v>397</v>
      </c>
      <c r="K10" s="57">
        <v>1</v>
      </c>
      <c r="L10" s="47"/>
      <c r="O10" s="47"/>
      <c r="P10" s="133"/>
      <c r="Q10" s="58">
        <f>ROUND((ROUND((ROUND((_11_A通院２０．５*_11・基礎２),0)*_11・２人),0)*(1+_11・A深夜)),0)</f>
        <v>143</v>
      </c>
      <c r="R10" s="59"/>
    </row>
    <row r="11" spans="1:18" ht="16.5" customHeight="1" x14ac:dyDescent="0.2">
      <c r="A11" s="44">
        <v>16</v>
      </c>
      <c r="B11" s="53">
        <v>7255</v>
      </c>
      <c r="C11" s="69" t="s">
        <v>1587</v>
      </c>
      <c r="D11" s="243" t="s">
        <v>1958</v>
      </c>
      <c r="E11" s="272"/>
      <c r="F11" s="62"/>
      <c r="G11" s="60"/>
      <c r="H11" s="61"/>
      <c r="I11" s="109"/>
      <c r="J11" s="56"/>
      <c r="K11" s="57"/>
      <c r="L11" s="47"/>
      <c r="O11" s="62"/>
      <c r="P11" s="136"/>
      <c r="Q11" s="58">
        <f>ROUND((_11_A通院２１．０*(1+_11・A深夜)),0)</f>
        <v>296</v>
      </c>
      <c r="R11" s="59"/>
    </row>
    <row r="12" spans="1:18" ht="16.5" customHeight="1" x14ac:dyDescent="0.2">
      <c r="A12" s="44">
        <v>16</v>
      </c>
      <c r="B12" s="53">
        <v>7256</v>
      </c>
      <c r="C12" s="69" t="s">
        <v>1588</v>
      </c>
      <c r="D12" s="273"/>
      <c r="E12" s="274"/>
      <c r="F12" s="54"/>
      <c r="G12" s="49"/>
      <c r="H12" s="50"/>
      <c r="I12" s="144" t="s">
        <v>396</v>
      </c>
      <c r="J12" s="131" t="s">
        <v>397</v>
      </c>
      <c r="K12" s="57">
        <v>1</v>
      </c>
      <c r="L12" s="47"/>
      <c r="O12" s="47"/>
      <c r="P12" s="133"/>
      <c r="Q12" s="58">
        <f>ROUND((ROUND((_11_A通院２１．０*_11・２人),0)*(1+_11・A深夜)),0)</f>
        <v>296</v>
      </c>
      <c r="R12" s="59"/>
    </row>
    <row r="13" spans="1:18" ht="16.5" customHeight="1" x14ac:dyDescent="0.2">
      <c r="A13" s="44">
        <v>16</v>
      </c>
      <c r="B13" s="53">
        <v>7257</v>
      </c>
      <c r="C13" s="69" t="s">
        <v>1589</v>
      </c>
      <c r="D13" s="273"/>
      <c r="E13" s="274"/>
      <c r="F13" s="241" t="s">
        <v>398</v>
      </c>
      <c r="G13" s="132" t="s">
        <v>397</v>
      </c>
      <c r="H13" s="136">
        <v>0.9</v>
      </c>
      <c r="I13" s="109"/>
      <c r="J13" s="56"/>
      <c r="K13" s="57"/>
      <c r="L13" s="47"/>
      <c r="O13" s="47"/>
      <c r="P13" s="133"/>
      <c r="Q13" s="58">
        <f>ROUND((ROUND((_11_A通院２１．０*_11・基礎２),0)*(1+_11・A深夜)),0)</f>
        <v>266</v>
      </c>
      <c r="R13" s="59"/>
    </row>
    <row r="14" spans="1:18" ht="16.5" customHeight="1" x14ac:dyDescent="0.2">
      <c r="A14" s="44">
        <v>16</v>
      </c>
      <c r="B14" s="53">
        <v>7258</v>
      </c>
      <c r="C14" s="69" t="s">
        <v>1590</v>
      </c>
      <c r="D14" s="142">
        <f>_11_A通院２１．０</f>
        <v>197</v>
      </c>
      <c r="E14" s="137" t="s">
        <v>394</v>
      </c>
      <c r="F14" s="276"/>
      <c r="G14" s="49"/>
      <c r="H14" s="135"/>
      <c r="I14" s="144" t="s">
        <v>396</v>
      </c>
      <c r="J14" s="131" t="s">
        <v>397</v>
      </c>
      <c r="K14" s="57">
        <v>1</v>
      </c>
      <c r="L14" s="47"/>
      <c r="O14" s="47"/>
      <c r="P14" s="133"/>
      <c r="Q14" s="58">
        <f>ROUND((ROUND((ROUND((_11_A通院２１．０*_11・基礎２),0)*_11・２人),0)*(1+_11・A深夜)),0)</f>
        <v>266</v>
      </c>
      <c r="R14" s="59"/>
    </row>
    <row r="15" spans="1:18" ht="16.5" customHeight="1" x14ac:dyDescent="0.2">
      <c r="A15" s="44">
        <v>16</v>
      </c>
      <c r="B15" s="53">
        <v>7259</v>
      </c>
      <c r="C15" s="69" t="s">
        <v>1591</v>
      </c>
      <c r="D15" s="243" t="s">
        <v>1959</v>
      </c>
      <c r="E15" s="272"/>
      <c r="F15" s="62"/>
      <c r="G15" s="60"/>
      <c r="H15" s="61"/>
      <c r="I15" s="109"/>
      <c r="J15" s="56"/>
      <c r="K15" s="57"/>
      <c r="L15" s="47"/>
      <c r="O15" s="62"/>
      <c r="P15" s="136"/>
      <c r="Q15" s="58">
        <f>ROUND((_11_A通院２１．５*(1+_11・A深夜)),0)</f>
        <v>413</v>
      </c>
      <c r="R15" s="59"/>
    </row>
    <row r="16" spans="1:18" ht="16.5" customHeight="1" x14ac:dyDescent="0.2">
      <c r="A16" s="44">
        <v>16</v>
      </c>
      <c r="B16" s="53">
        <v>7260</v>
      </c>
      <c r="C16" s="69" t="s">
        <v>1592</v>
      </c>
      <c r="D16" s="273"/>
      <c r="E16" s="274"/>
      <c r="F16" s="54"/>
      <c r="G16" s="49"/>
      <c r="H16" s="50"/>
      <c r="I16" s="144" t="s">
        <v>396</v>
      </c>
      <c r="J16" s="131" t="s">
        <v>397</v>
      </c>
      <c r="K16" s="57">
        <v>1</v>
      </c>
      <c r="L16" s="47"/>
      <c r="O16" s="47"/>
      <c r="P16" s="133"/>
      <c r="Q16" s="58">
        <f>ROUND((ROUND((_11_A通院２１．５*_11・２人),0)*(1+_11・A深夜)),0)</f>
        <v>413</v>
      </c>
      <c r="R16" s="59"/>
    </row>
    <row r="17" spans="1:18" ht="16.5" customHeight="1" x14ac:dyDescent="0.2">
      <c r="A17" s="44">
        <v>16</v>
      </c>
      <c r="B17" s="53">
        <v>7261</v>
      </c>
      <c r="C17" s="69" t="s">
        <v>1593</v>
      </c>
      <c r="D17" s="273"/>
      <c r="E17" s="274"/>
      <c r="F17" s="241" t="s">
        <v>398</v>
      </c>
      <c r="G17" s="132" t="s">
        <v>397</v>
      </c>
      <c r="H17" s="136">
        <v>0.9</v>
      </c>
      <c r="I17" s="109"/>
      <c r="J17" s="56"/>
      <c r="K17" s="57"/>
      <c r="L17" s="47"/>
      <c r="O17" s="47"/>
      <c r="P17" s="133"/>
      <c r="Q17" s="58">
        <f>ROUND((ROUND((_11_A通院２１．５*_11・基礎２),0)*(1+_11・A深夜)),0)</f>
        <v>372</v>
      </c>
      <c r="R17" s="59"/>
    </row>
    <row r="18" spans="1:18" ht="16.5" customHeight="1" x14ac:dyDescent="0.2">
      <c r="A18" s="44">
        <v>16</v>
      </c>
      <c r="B18" s="53">
        <v>7262</v>
      </c>
      <c r="C18" s="69" t="s">
        <v>1594</v>
      </c>
      <c r="D18" s="142">
        <f>_11_A通院２１．５</f>
        <v>275</v>
      </c>
      <c r="E18" s="137" t="s">
        <v>394</v>
      </c>
      <c r="F18" s="276"/>
      <c r="G18" s="49"/>
      <c r="H18" s="135"/>
      <c r="I18" s="144" t="s">
        <v>396</v>
      </c>
      <c r="J18" s="131" t="s">
        <v>397</v>
      </c>
      <c r="K18" s="57">
        <v>1</v>
      </c>
      <c r="L18" s="47"/>
      <c r="O18" s="47"/>
      <c r="P18" s="133"/>
      <c r="Q18" s="58">
        <f>ROUND((ROUND((ROUND((_11_A通院２１．５*_11・基礎２),0)*_11・２人),0)*(1+_11・A深夜)),0)</f>
        <v>372</v>
      </c>
      <c r="R18" s="59"/>
    </row>
    <row r="19" spans="1:18" ht="16.5" customHeight="1" x14ac:dyDescent="0.2">
      <c r="A19" s="44">
        <v>16</v>
      </c>
      <c r="B19" s="53">
        <v>7263</v>
      </c>
      <c r="C19" s="69" t="s">
        <v>1595</v>
      </c>
      <c r="D19" s="243" t="s">
        <v>1960</v>
      </c>
      <c r="E19" s="272"/>
      <c r="F19" s="62"/>
      <c r="G19" s="60"/>
      <c r="H19" s="61"/>
      <c r="I19" s="109"/>
      <c r="J19" s="56"/>
      <c r="K19" s="57"/>
      <c r="L19" s="47"/>
      <c r="O19" s="62"/>
      <c r="P19" s="136"/>
      <c r="Q19" s="58">
        <f>ROUND((_11_A通院２２．０*(1+_11・A深夜)),0)</f>
        <v>518</v>
      </c>
      <c r="R19" s="59"/>
    </row>
    <row r="20" spans="1:18" ht="16.5" customHeight="1" x14ac:dyDescent="0.2">
      <c r="A20" s="44">
        <v>16</v>
      </c>
      <c r="B20" s="53">
        <v>7264</v>
      </c>
      <c r="C20" s="69" t="s">
        <v>1596</v>
      </c>
      <c r="D20" s="273"/>
      <c r="E20" s="274"/>
      <c r="F20" s="54"/>
      <c r="G20" s="49"/>
      <c r="H20" s="50"/>
      <c r="I20" s="144" t="s">
        <v>396</v>
      </c>
      <c r="J20" s="131" t="s">
        <v>397</v>
      </c>
      <c r="K20" s="57">
        <v>1</v>
      </c>
      <c r="L20" s="47"/>
      <c r="O20" s="47"/>
      <c r="P20" s="133"/>
      <c r="Q20" s="58">
        <f>ROUND((ROUND((_11_A通院２２．０*_11・２人),0)*(1+_11・A深夜)),0)</f>
        <v>518</v>
      </c>
      <c r="R20" s="59"/>
    </row>
    <row r="21" spans="1:18" ht="16.5" customHeight="1" x14ac:dyDescent="0.2">
      <c r="A21" s="44">
        <v>16</v>
      </c>
      <c r="B21" s="53">
        <v>7265</v>
      </c>
      <c r="C21" s="69" t="s">
        <v>1597</v>
      </c>
      <c r="D21" s="273"/>
      <c r="E21" s="274"/>
      <c r="F21" s="241" t="s">
        <v>398</v>
      </c>
      <c r="G21" s="132" t="s">
        <v>397</v>
      </c>
      <c r="H21" s="136">
        <v>0.9</v>
      </c>
      <c r="I21" s="109"/>
      <c r="J21" s="56"/>
      <c r="K21" s="57"/>
      <c r="L21" s="47"/>
      <c r="O21" s="47"/>
      <c r="P21" s="133"/>
      <c r="Q21" s="58">
        <f>ROUND((ROUND((_11_A通院２２．０*_11・基礎２),0)*(1+_11・A深夜)),0)</f>
        <v>467</v>
      </c>
      <c r="R21" s="59"/>
    </row>
    <row r="22" spans="1:18" ht="16.5" customHeight="1" x14ac:dyDescent="0.2">
      <c r="A22" s="44">
        <v>16</v>
      </c>
      <c r="B22" s="53">
        <v>7266</v>
      </c>
      <c r="C22" s="69" t="s">
        <v>1598</v>
      </c>
      <c r="D22" s="142">
        <f>_11_A通院２２．０</f>
        <v>345</v>
      </c>
      <c r="E22" s="137" t="s">
        <v>394</v>
      </c>
      <c r="F22" s="276"/>
      <c r="G22" s="49"/>
      <c r="H22" s="135"/>
      <c r="I22" s="144" t="s">
        <v>396</v>
      </c>
      <c r="J22" s="131" t="s">
        <v>397</v>
      </c>
      <c r="K22" s="57">
        <v>1</v>
      </c>
      <c r="L22" s="47"/>
      <c r="O22" s="47"/>
      <c r="P22" s="133"/>
      <c r="Q22" s="58">
        <f>ROUND((ROUND((ROUND((_11_A通院２２．０*_11・基礎２),0)*_11・２人),0)*(1+_11・A深夜)),0)</f>
        <v>467</v>
      </c>
      <c r="R22" s="59"/>
    </row>
    <row r="23" spans="1:18" ht="16.5" customHeight="1" x14ac:dyDescent="0.2">
      <c r="A23" s="44">
        <v>16</v>
      </c>
      <c r="B23" s="53">
        <v>7267</v>
      </c>
      <c r="C23" s="69" t="s">
        <v>1599</v>
      </c>
      <c r="D23" s="243" t="s">
        <v>1961</v>
      </c>
      <c r="E23" s="272"/>
      <c r="F23" s="62"/>
      <c r="G23" s="60"/>
      <c r="H23" s="61"/>
      <c r="I23" s="109"/>
      <c r="J23" s="56"/>
      <c r="K23" s="57"/>
      <c r="L23" s="47"/>
      <c r="O23" s="62"/>
      <c r="P23" s="136"/>
      <c r="Q23" s="58">
        <f>ROUND((_11_A通院２２．５*(1+_11・A深夜)),0)</f>
        <v>621</v>
      </c>
      <c r="R23" s="59"/>
    </row>
    <row r="24" spans="1:18" ht="16.5" customHeight="1" x14ac:dyDescent="0.2">
      <c r="A24" s="44">
        <v>16</v>
      </c>
      <c r="B24" s="53">
        <v>7268</v>
      </c>
      <c r="C24" s="69" t="s">
        <v>1600</v>
      </c>
      <c r="D24" s="273"/>
      <c r="E24" s="274"/>
      <c r="F24" s="54"/>
      <c r="G24" s="49"/>
      <c r="H24" s="50"/>
      <c r="I24" s="144" t="s">
        <v>396</v>
      </c>
      <c r="J24" s="131" t="s">
        <v>397</v>
      </c>
      <c r="K24" s="57">
        <v>1</v>
      </c>
      <c r="L24" s="47"/>
      <c r="O24" s="47"/>
      <c r="P24" s="133"/>
      <c r="Q24" s="58">
        <f>ROUND((ROUND((_11_A通院２２．５*_11・２人),0)*(1+_11・A深夜)),0)</f>
        <v>621</v>
      </c>
      <c r="R24" s="59"/>
    </row>
    <row r="25" spans="1:18" ht="16.5" customHeight="1" x14ac:dyDescent="0.2">
      <c r="A25" s="44">
        <v>16</v>
      </c>
      <c r="B25" s="53">
        <v>7269</v>
      </c>
      <c r="C25" s="69" t="s">
        <v>1601</v>
      </c>
      <c r="D25" s="273"/>
      <c r="E25" s="274"/>
      <c r="F25" s="241" t="s">
        <v>398</v>
      </c>
      <c r="G25" s="132" t="s">
        <v>397</v>
      </c>
      <c r="H25" s="136">
        <v>0.9</v>
      </c>
      <c r="I25" s="109"/>
      <c r="J25" s="56"/>
      <c r="K25" s="57"/>
      <c r="L25" s="47"/>
      <c r="O25" s="47"/>
      <c r="P25" s="133"/>
      <c r="Q25" s="58">
        <f>ROUND((ROUND((_11_A通院２２．５*_11・基礎２),0)*(1+_11・A深夜)),0)</f>
        <v>560</v>
      </c>
      <c r="R25" s="59"/>
    </row>
    <row r="26" spans="1:18" ht="16.5" customHeight="1" x14ac:dyDescent="0.2">
      <c r="A26" s="44">
        <v>16</v>
      </c>
      <c r="B26" s="53">
        <v>7270</v>
      </c>
      <c r="C26" s="69" t="s">
        <v>1602</v>
      </c>
      <c r="D26" s="142">
        <f>_11_A通院２２．５</f>
        <v>414</v>
      </c>
      <c r="E26" s="137" t="s">
        <v>394</v>
      </c>
      <c r="F26" s="276"/>
      <c r="G26" s="49"/>
      <c r="H26" s="135"/>
      <c r="I26" s="144" t="s">
        <v>396</v>
      </c>
      <c r="J26" s="131" t="s">
        <v>397</v>
      </c>
      <c r="K26" s="57">
        <v>1</v>
      </c>
      <c r="L26" s="47"/>
      <c r="O26" s="47"/>
      <c r="P26" s="133"/>
      <c r="Q26" s="58">
        <f>ROUND((ROUND((ROUND((_11_A通院２２．５*_11・基礎２),0)*_11・２人),0)*(1+_11・A深夜)),0)</f>
        <v>560</v>
      </c>
      <c r="R26" s="59"/>
    </row>
    <row r="27" spans="1:18" ht="16.5" customHeight="1" x14ac:dyDescent="0.2">
      <c r="A27" s="44">
        <v>16</v>
      </c>
      <c r="B27" s="53">
        <v>7271</v>
      </c>
      <c r="C27" s="69" t="s">
        <v>1603</v>
      </c>
      <c r="D27" s="243" t="s">
        <v>1962</v>
      </c>
      <c r="E27" s="272"/>
      <c r="F27" s="62"/>
      <c r="G27" s="60"/>
      <c r="H27" s="61"/>
      <c r="I27" s="109"/>
      <c r="J27" s="56"/>
      <c r="K27" s="57"/>
      <c r="L27" s="47"/>
      <c r="O27" s="62"/>
      <c r="P27" s="136"/>
      <c r="Q27" s="58">
        <f>ROUND((_11_A通院２３．０*(1+_11・A深夜)),0)</f>
        <v>725</v>
      </c>
      <c r="R27" s="59"/>
    </row>
    <row r="28" spans="1:18" ht="16.5" customHeight="1" x14ac:dyDescent="0.2">
      <c r="A28" s="44">
        <v>16</v>
      </c>
      <c r="B28" s="53">
        <v>7272</v>
      </c>
      <c r="C28" s="69" t="s">
        <v>1604</v>
      </c>
      <c r="D28" s="273"/>
      <c r="E28" s="274"/>
      <c r="F28" s="54"/>
      <c r="G28" s="49"/>
      <c r="H28" s="50"/>
      <c r="I28" s="144" t="s">
        <v>396</v>
      </c>
      <c r="J28" s="131" t="s">
        <v>397</v>
      </c>
      <c r="K28" s="57">
        <v>1</v>
      </c>
      <c r="L28" s="47"/>
      <c r="O28" s="47"/>
      <c r="P28" s="133"/>
      <c r="Q28" s="58">
        <f>ROUND((ROUND((_11_A通院２３．０*_11・２人),0)*(1+_11・A深夜)),0)</f>
        <v>725</v>
      </c>
      <c r="R28" s="59"/>
    </row>
    <row r="29" spans="1:18" ht="16.5" customHeight="1" x14ac:dyDescent="0.2">
      <c r="A29" s="44">
        <v>16</v>
      </c>
      <c r="B29" s="53">
        <v>7273</v>
      </c>
      <c r="C29" s="69" t="s">
        <v>1605</v>
      </c>
      <c r="D29" s="273"/>
      <c r="E29" s="274"/>
      <c r="F29" s="241" t="s">
        <v>398</v>
      </c>
      <c r="G29" s="132" t="s">
        <v>397</v>
      </c>
      <c r="H29" s="136">
        <v>0.9</v>
      </c>
      <c r="I29" s="109"/>
      <c r="J29" s="56"/>
      <c r="K29" s="57"/>
      <c r="L29" s="47"/>
      <c r="O29" s="47"/>
      <c r="P29" s="133"/>
      <c r="Q29" s="58">
        <f>ROUND((ROUND((_11_A通院２３．０*_11・基礎２),0)*(1+_11・A深夜)),0)</f>
        <v>653</v>
      </c>
      <c r="R29" s="59"/>
    </row>
    <row r="30" spans="1:18" ht="16.5" customHeight="1" x14ac:dyDescent="0.2">
      <c r="A30" s="44">
        <v>16</v>
      </c>
      <c r="B30" s="53">
        <v>7274</v>
      </c>
      <c r="C30" s="69" t="s">
        <v>1606</v>
      </c>
      <c r="D30" s="142">
        <f>_11_A通院２３．０</f>
        <v>483</v>
      </c>
      <c r="E30" s="137" t="s">
        <v>394</v>
      </c>
      <c r="F30" s="276"/>
      <c r="G30" s="49"/>
      <c r="H30" s="135"/>
      <c r="I30" s="144" t="s">
        <v>396</v>
      </c>
      <c r="J30" s="131" t="s">
        <v>397</v>
      </c>
      <c r="K30" s="57">
        <v>1</v>
      </c>
      <c r="L30" s="47"/>
      <c r="O30" s="47"/>
      <c r="P30" s="133"/>
      <c r="Q30" s="58">
        <f>ROUND((ROUND((ROUND((_11_A通院２３．０*_11・基礎２),0)*_11・２人),0)*(1+_11・A深夜)),0)</f>
        <v>653</v>
      </c>
      <c r="R30" s="59"/>
    </row>
    <row r="31" spans="1:18" ht="16.5" customHeight="1" x14ac:dyDescent="0.2">
      <c r="A31" s="44">
        <v>16</v>
      </c>
      <c r="B31" s="53">
        <v>7275</v>
      </c>
      <c r="C31" s="69" t="s">
        <v>1607</v>
      </c>
      <c r="D31" s="243" t="s">
        <v>1963</v>
      </c>
      <c r="E31" s="272"/>
      <c r="F31" s="62"/>
      <c r="G31" s="60"/>
      <c r="H31" s="61"/>
      <c r="I31" s="109"/>
      <c r="J31" s="56"/>
      <c r="K31" s="57"/>
      <c r="L31" s="47"/>
      <c r="O31" s="62"/>
      <c r="P31" s="136"/>
      <c r="Q31" s="58">
        <f>ROUND((_11_A通院２３．５*(1+_11・A深夜)),0)</f>
        <v>828</v>
      </c>
      <c r="R31" s="59"/>
    </row>
    <row r="32" spans="1:18" ht="16.5" customHeight="1" x14ac:dyDescent="0.2">
      <c r="A32" s="44">
        <v>16</v>
      </c>
      <c r="B32" s="53">
        <v>7276</v>
      </c>
      <c r="C32" s="69" t="s">
        <v>1608</v>
      </c>
      <c r="D32" s="273"/>
      <c r="E32" s="274"/>
      <c r="F32" s="54"/>
      <c r="G32" s="49"/>
      <c r="H32" s="50"/>
      <c r="I32" s="144" t="s">
        <v>396</v>
      </c>
      <c r="J32" s="131" t="s">
        <v>397</v>
      </c>
      <c r="K32" s="57">
        <v>1</v>
      </c>
      <c r="L32" s="47"/>
      <c r="O32" s="47"/>
      <c r="P32" s="133"/>
      <c r="Q32" s="58">
        <f>ROUND((ROUND((_11_A通院２３．５*_11・２人),0)*(1+_11・A深夜)),0)</f>
        <v>828</v>
      </c>
      <c r="R32" s="59"/>
    </row>
    <row r="33" spans="1:18" ht="16.5" customHeight="1" x14ac:dyDescent="0.2">
      <c r="A33" s="44">
        <v>16</v>
      </c>
      <c r="B33" s="53">
        <v>7277</v>
      </c>
      <c r="C33" s="69" t="s">
        <v>1609</v>
      </c>
      <c r="D33" s="273"/>
      <c r="E33" s="274"/>
      <c r="F33" s="241" t="s">
        <v>398</v>
      </c>
      <c r="G33" s="132" t="s">
        <v>397</v>
      </c>
      <c r="H33" s="136">
        <v>0.9</v>
      </c>
      <c r="I33" s="109"/>
      <c r="J33" s="56"/>
      <c r="K33" s="57"/>
      <c r="L33" s="47"/>
      <c r="O33" s="47"/>
      <c r="P33" s="133"/>
      <c r="Q33" s="58">
        <f>ROUND((ROUND((_11_A通院２３．５*_11・基礎２),0)*(1+_11・A深夜)),0)</f>
        <v>746</v>
      </c>
      <c r="R33" s="59"/>
    </row>
    <row r="34" spans="1:18" ht="16.5" customHeight="1" x14ac:dyDescent="0.2">
      <c r="A34" s="44">
        <v>16</v>
      </c>
      <c r="B34" s="53">
        <v>7278</v>
      </c>
      <c r="C34" s="69" t="s">
        <v>1610</v>
      </c>
      <c r="D34" s="142">
        <f>_11_A通院２３．５</f>
        <v>552</v>
      </c>
      <c r="E34" s="137" t="s">
        <v>394</v>
      </c>
      <c r="F34" s="276"/>
      <c r="G34" s="49"/>
      <c r="H34" s="135"/>
      <c r="I34" s="144" t="s">
        <v>396</v>
      </c>
      <c r="J34" s="131" t="s">
        <v>397</v>
      </c>
      <c r="K34" s="57">
        <v>1</v>
      </c>
      <c r="L34" s="47"/>
      <c r="O34" s="47"/>
      <c r="P34" s="133"/>
      <c r="Q34" s="58">
        <f>ROUND((ROUND((ROUND((_11_A通院２３．５*_11・基礎２),0)*_11・２人),0)*(1+_11・A深夜)),0)</f>
        <v>746</v>
      </c>
      <c r="R34" s="59"/>
    </row>
    <row r="35" spans="1:18" ht="16.5" customHeight="1" x14ac:dyDescent="0.2">
      <c r="A35" s="44">
        <v>16</v>
      </c>
      <c r="B35" s="53">
        <v>7279</v>
      </c>
      <c r="C35" s="69" t="s">
        <v>1611</v>
      </c>
      <c r="D35" s="243" t="s">
        <v>1964</v>
      </c>
      <c r="E35" s="272"/>
      <c r="F35" s="62"/>
      <c r="G35" s="60"/>
      <c r="H35" s="61"/>
      <c r="I35" s="109"/>
      <c r="J35" s="56"/>
      <c r="K35" s="57"/>
      <c r="L35" s="47"/>
      <c r="O35" s="62"/>
      <c r="P35" s="136"/>
      <c r="Q35" s="58">
        <f>ROUND((_11_A通院２４．０*(1+_11・A深夜)),0)</f>
        <v>932</v>
      </c>
      <c r="R35" s="59"/>
    </row>
    <row r="36" spans="1:18" ht="16.5" customHeight="1" x14ac:dyDescent="0.2">
      <c r="A36" s="44">
        <v>16</v>
      </c>
      <c r="B36" s="53">
        <v>7280</v>
      </c>
      <c r="C36" s="69" t="s">
        <v>1612</v>
      </c>
      <c r="D36" s="273"/>
      <c r="E36" s="274"/>
      <c r="F36" s="54"/>
      <c r="G36" s="49"/>
      <c r="H36" s="50"/>
      <c r="I36" s="144" t="s">
        <v>396</v>
      </c>
      <c r="J36" s="131" t="s">
        <v>397</v>
      </c>
      <c r="K36" s="57">
        <v>1</v>
      </c>
      <c r="L36" s="47"/>
      <c r="O36" s="47"/>
      <c r="P36" s="133"/>
      <c r="Q36" s="58">
        <f>ROUND((ROUND((_11_A通院２４．０*_11・２人),0)*(1+_11・A深夜)),0)</f>
        <v>932</v>
      </c>
      <c r="R36" s="59"/>
    </row>
    <row r="37" spans="1:18" ht="16.5" customHeight="1" x14ac:dyDescent="0.2">
      <c r="A37" s="44">
        <v>16</v>
      </c>
      <c r="B37" s="53">
        <v>7281</v>
      </c>
      <c r="C37" s="69" t="s">
        <v>1613</v>
      </c>
      <c r="D37" s="273"/>
      <c r="E37" s="274"/>
      <c r="F37" s="241" t="s">
        <v>398</v>
      </c>
      <c r="G37" s="132" t="s">
        <v>397</v>
      </c>
      <c r="H37" s="136">
        <v>0.9</v>
      </c>
      <c r="I37" s="109"/>
      <c r="J37" s="56"/>
      <c r="K37" s="57"/>
      <c r="L37" s="47"/>
      <c r="O37" s="47"/>
      <c r="P37" s="133"/>
      <c r="Q37" s="58">
        <f>ROUND((ROUND((_11_A通院２４．０*_11・基礎２),0)*(1+_11・A深夜)),0)</f>
        <v>839</v>
      </c>
      <c r="R37" s="59"/>
    </row>
    <row r="38" spans="1:18" ht="16.5" customHeight="1" x14ac:dyDescent="0.2">
      <c r="A38" s="44">
        <v>16</v>
      </c>
      <c r="B38" s="53">
        <v>7282</v>
      </c>
      <c r="C38" s="69" t="s">
        <v>1614</v>
      </c>
      <c r="D38" s="142">
        <f>_11_A通院２４．０</f>
        <v>621</v>
      </c>
      <c r="E38" s="137" t="s">
        <v>394</v>
      </c>
      <c r="F38" s="276"/>
      <c r="G38" s="49"/>
      <c r="H38" s="135"/>
      <c r="I38" s="144" t="s">
        <v>396</v>
      </c>
      <c r="J38" s="131" t="s">
        <v>397</v>
      </c>
      <c r="K38" s="57">
        <v>1</v>
      </c>
      <c r="L38" s="47"/>
      <c r="O38" s="47"/>
      <c r="P38" s="133"/>
      <c r="Q38" s="58">
        <f>ROUND((ROUND((ROUND((_11_A通院２４．０*_11・基礎２),0)*_11・２人),0)*(1+_11・A深夜)),0)</f>
        <v>839</v>
      </c>
      <c r="R38" s="59"/>
    </row>
    <row r="39" spans="1:18" ht="16.5" customHeight="1" x14ac:dyDescent="0.2">
      <c r="A39" s="44">
        <v>16</v>
      </c>
      <c r="B39" s="53">
        <v>7283</v>
      </c>
      <c r="C39" s="69" t="s">
        <v>1615</v>
      </c>
      <c r="D39" s="243" t="s">
        <v>1965</v>
      </c>
      <c r="E39" s="272"/>
      <c r="F39" s="62"/>
      <c r="G39" s="60"/>
      <c r="H39" s="61"/>
      <c r="I39" s="109"/>
      <c r="J39" s="56"/>
      <c r="K39" s="57"/>
      <c r="L39" s="47"/>
      <c r="O39" s="62"/>
      <c r="P39" s="136"/>
      <c r="Q39" s="58">
        <f>ROUND((_11_A通院２４．５*(1+_11・A深夜)),0)</f>
        <v>1035</v>
      </c>
      <c r="R39" s="59"/>
    </row>
    <row r="40" spans="1:18" ht="16.5" customHeight="1" x14ac:dyDescent="0.2">
      <c r="A40" s="44">
        <v>16</v>
      </c>
      <c r="B40" s="53">
        <v>7284</v>
      </c>
      <c r="C40" s="69" t="s">
        <v>1616</v>
      </c>
      <c r="D40" s="273"/>
      <c r="E40" s="274"/>
      <c r="F40" s="54"/>
      <c r="G40" s="49"/>
      <c r="H40" s="50"/>
      <c r="I40" s="144" t="s">
        <v>396</v>
      </c>
      <c r="J40" s="131" t="s">
        <v>397</v>
      </c>
      <c r="K40" s="57">
        <v>1</v>
      </c>
      <c r="L40" s="47"/>
      <c r="O40" s="47"/>
      <c r="P40" s="133"/>
      <c r="Q40" s="58">
        <f>ROUND((ROUND((_11_A通院２４．５*_11・２人),0)*(1+_11・A深夜)),0)</f>
        <v>1035</v>
      </c>
      <c r="R40" s="59"/>
    </row>
    <row r="41" spans="1:18" ht="16.5" customHeight="1" x14ac:dyDescent="0.2">
      <c r="A41" s="44">
        <v>16</v>
      </c>
      <c r="B41" s="53">
        <v>7285</v>
      </c>
      <c r="C41" s="69" t="s">
        <v>1617</v>
      </c>
      <c r="D41" s="273"/>
      <c r="E41" s="274"/>
      <c r="F41" s="241" t="s">
        <v>398</v>
      </c>
      <c r="G41" s="132" t="s">
        <v>397</v>
      </c>
      <c r="H41" s="136">
        <v>0.9</v>
      </c>
      <c r="I41" s="109"/>
      <c r="J41" s="56"/>
      <c r="K41" s="57"/>
      <c r="L41" s="47"/>
      <c r="O41" s="47"/>
      <c r="P41" s="133"/>
      <c r="Q41" s="58">
        <f>ROUND((ROUND((_11_A通院２４．５*_11・基礎２),0)*(1+_11・A深夜)),0)</f>
        <v>932</v>
      </c>
      <c r="R41" s="59"/>
    </row>
    <row r="42" spans="1:18" ht="16.5" customHeight="1" x14ac:dyDescent="0.2">
      <c r="A42" s="44">
        <v>16</v>
      </c>
      <c r="B42" s="53">
        <v>7286</v>
      </c>
      <c r="C42" s="69" t="s">
        <v>1618</v>
      </c>
      <c r="D42" s="142">
        <f>_11_A通院２４．５</f>
        <v>690</v>
      </c>
      <c r="E42" s="137" t="s">
        <v>394</v>
      </c>
      <c r="F42" s="276"/>
      <c r="G42" s="49"/>
      <c r="H42" s="135"/>
      <c r="I42" s="144" t="s">
        <v>396</v>
      </c>
      <c r="J42" s="131" t="s">
        <v>397</v>
      </c>
      <c r="K42" s="57">
        <v>1</v>
      </c>
      <c r="L42" s="47"/>
      <c r="O42" s="47"/>
      <c r="P42" s="133"/>
      <c r="Q42" s="58">
        <f>ROUND((ROUND((ROUND((_11_A通院２４．５*_11・基礎２),0)*_11・２人),0)*(1+_11・A深夜)),0)</f>
        <v>932</v>
      </c>
      <c r="R42" s="59"/>
    </row>
    <row r="43" spans="1:18" ht="16.5" customHeight="1" x14ac:dyDescent="0.2">
      <c r="A43" s="44">
        <v>16</v>
      </c>
      <c r="B43" s="53">
        <v>7287</v>
      </c>
      <c r="C43" s="69" t="s">
        <v>1619</v>
      </c>
      <c r="D43" s="243" t="s">
        <v>1966</v>
      </c>
      <c r="E43" s="272"/>
      <c r="F43" s="62"/>
      <c r="G43" s="60"/>
      <c r="H43" s="61"/>
      <c r="I43" s="109"/>
      <c r="J43" s="56"/>
      <c r="K43" s="57"/>
      <c r="L43" s="47"/>
      <c r="O43" s="62"/>
      <c r="P43" s="136"/>
      <c r="Q43" s="58">
        <f>ROUND((_11_A通院２５．０*(1+_11・A深夜)),0)</f>
        <v>1139</v>
      </c>
      <c r="R43" s="59"/>
    </row>
    <row r="44" spans="1:18" ht="16.5" customHeight="1" x14ac:dyDescent="0.2">
      <c r="A44" s="44">
        <v>16</v>
      </c>
      <c r="B44" s="53">
        <v>7288</v>
      </c>
      <c r="C44" s="69" t="s">
        <v>1620</v>
      </c>
      <c r="D44" s="273"/>
      <c r="E44" s="274"/>
      <c r="F44" s="54"/>
      <c r="G44" s="49"/>
      <c r="H44" s="50"/>
      <c r="I44" s="144" t="s">
        <v>396</v>
      </c>
      <c r="J44" s="131" t="s">
        <v>397</v>
      </c>
      <c r="K44" s="57">
        <v>1</v>
      </c>
      <c r="L44" s="47"/>
      <c r="O44" s="47"/>
      <c r="P44" s="133"/>
      <c r="Q44" s="58">
        <f>ROUND((ROUND((_11_A通院２５．０*_11・２人),0)*(1+_11・A深夜)),0)</f>
        <v>1139</v>
      </c>
      <c r="R44" s="59"/>
    </row>
    <row r="45" spans="1:18" ht="16.5" customHeight="1" x14ac:dyDescent="0.2">
      <c r="A45" s="44">
        <v>16</v>
      </c>
      <c r="B45" s="53">
        <v>7289</v>
      </c>
      <c r="C45" s="69" t="s">
        <v>1621</v>
      </c>
      <c r="D45" s="273"/>
      <c r="E45" s="274"/>
      <c r="F45" s="241" t="s">
        <v>398</v>
      </c>
      <c r="G45" s="132" t="s">
        <v>397</v>
      </c>
      <c r="H45" s="136">
        <v>0.9</v>
      </c>
      <c r="I45" s="109"/>
      <c r="J45" s="56"/>
      <c r="K45" s="57"/>
      <c r="L45" s="47"/>
      <c r="O45" s="47"/>
      <c r="P45" s="133"/>
      <c r="Q45" s="58">
        <f>ROUND((ROUND((_11_A通院２５．０*_11・基礎２),0)*(1+_11・A深夜)),0)</f>
        <v>1025</v>
      </c>
      <c r="R45" s="59"/>
    </row>
    <row r="46" spans="1:18" ht="16.5" customHeight="1" x14ac:dyDescent="0.2">
      <c r="A46" s="44">
        <v>16</v>
      </c>
      <c r="B46" s="53">
        <v>7290</v>
      </c>
      <c r="C46" s="69" t="s">
        <v>1622</v>
      </c>
      <c r="D46" s="142">
        <f>_11_A通院２５．０</f>
        <v>759</v>
      </c>
      <c r="E46" s="137" t="s">
        <v>394</v>
      </c>
      <c r="F46" s="276"/>
      <c r="G46" s="49"/>
      <c r="H46" s="135"/>
      <c r="I46" s="144" t="s">
        <v>396</v>
      </c>
      <c r="J46" s="131" t="s">
        <v>397</v>
      </c>
      <c r="K46" s="57">
        <v>1</v>
      </c>
      <c r="L46" s="47"/>
      <c r="O46" s="47"/>
      <c r="P46" s="133"/>
      <c r="Q46" s="58">
        <f>ROUND((ROUND((ROUND((_11_A通院２５．０*_11・基礎２),0)*_11・２人),0)*(1+_11・A深夜)),0)</f>
        <v>1025</v>
      </c>
      <c r="R46" s="59"/>
    </row>
    <row r="47" spans="1:18" ht="16.5" customHeight="1" x14ac:dyDescent="0.2">
      <c r="A47" s="44">
        <v>16</v>
      </c>
      <c r="B47" s="44">
        <v>7291</v>
      </c>
      <c r="C47" s="45" t="s">
        <v>1623</v>
      </c>
      <c r="D47" s="245" t="s">
        <v>1967</v>
      </c>
      <c r="E47" s="274"/>
      <c r="F47" s="47"/>
      <c r="I47" s="54"/>
      <c r="J47" s="49"/>
      <c r="K47" s="50"/>
      <c r="L47" s="47"/>
      <c r="M47" s="175"/>
      <c r="N47" s="133"/>
      <c r="O47" s="47"/>
      <c r="P47" s="133"/>
      <c r="Q47" s="51">
        <f>ROUND((_11_A通院２５．５*(1+_11・A深夜)),0)</f>
        <v>1242</v>
      </c>
      <c r="R47" s="52"/>
    </row>
    <row r="48" spans="1:18" ht="16.5" customHeight="1" x14ac:dyDescent="0.2">
      <c r="A48" s="44">
        <v>16</v>
      </c>
      <c r="B48" s="53">
        <v>7292</v>
      </c>
      <c r="C48" s="69" t="s">
        <v>1624</v>
      </c>
      <c r="D48" s="273"/>
      <c r="E48" s="274"/>
      <c r="F48" s="54"/>
      <c r="G48" s="49"/>
      <c r="H48" s="50"/>
      <c r="I48" s="144" t="s">
        <v>396</v>
      </c>
      <c r="J48" s="131" t="s">
        <v>397</v>
      </c>
      <c r="K48" s="57">
        <v>1</v>
      </c>
      <c r="L48" s="139"/>
      <c r="M48" s="176"/>
      <c r="N48" s="246"/>
      <c r="O48" s="47"/>
      <c r="P48" s="133"/>
      <c r="Q48" s="58">
        <f>ROUND((ROUND((_11_A通院２５．５*_11・２人),0)*(1+_11・A深夜)),0)</f>
        <v>1242</v>
      </c>
      <c r="R48" s="59"/>
    </row>
    <row r="49" spans="1:18" ht="16.5" customHeight="1" x14ac:dyDescent="0.2">
      <c r="A49" s="44">
        <v>16</v>
      </c>
      <c r="B49" s="53">
        <v>7293</v>
      </c>
      <c r="C49" s="69" t="s">
        <v>1625</v>
      </c>
      <c r="D49" s="273"/>
      <c r="E49" s="274"/>
      <c r="F49" s="241" t="s">
        <v>398</v>
      </c>
      <c r="G49" s="132" t="s">
        <v>397</v>
      </c>
      <c r="H49" s="136">
        <v>0.9</v>
      </c>
      <c r="I49" s="109"/>
      <c r="J49" s="56"/>
      <c r="K49" s="57"/>
      <c r="L49" s="47"/>
      <c r="M49" s="175"/>
      <c r="N49" s="274"/>
      <c r="O49" s="47"/>
      <c r="P49" s="133"/>
      <c r="Q49" s="58">
        <f>ROUND((ROUND((_11_A通院２５．５*_11・基礎２),0)*(1+_11・A深夜)),0)</f>
        <v>1118</v>
      </c>
      <c r="R49" s="59"/>
    </row>
    <row r="50" spans="1:18" ht="16.5" customHeight="1" x14ac:dyDescent="0.2">
      <c r="A50" s="44">
        <v>16</v>
      </c>
      <c r="B50" s="53">
        <v>7294</v>
      </c>
      <c r="C50" s="69" t="s">
        <v>1626</v>
      </c>
      <c r="D50" s="142">
        <f>_11_A通院２５．５</f>
        <v>828</v>
      </c>
      <c r="E50" s="137" t="s">
        <v>394</v>
      </c>
      <c r="F50" s="276"/>
      <c r="G50" s="49"/>
      <c r="H50" s="135"/>
      <c r="I50" s="144" t="s">
        <v>396</v>
      </c>
      <c r="J50" s="131" t="s">
        <v>397</v>
      </c>
      <c r="K50" s="57">
        <v>1</v>
      </c>
      <c r="L50" s="47"/>
      <c r="O50" s="47"/>
      <c r="P50" s="133"/>
      <c r="Q50" s="58">
        <f>ROUND((ROUND((ROUND((_11_A通院２５．５*_11・基礎２),0)*_11・２人),0)*(1+_11・A深夜)),0)</f>
        <v>1118</v>
      </c>
      <c r="R50" s="59"/>
    </row>
    <row r="51" spans="1:18" ht="16.5" customHeight="1" x14ac:dyDescent="0.2">
      <c r="A51" s="44">
        <v>16</v>
      </c>
      <c r="B51" s="53">
        <v>7295</v>
      </c>
      <c r="C51" s="69" t="s">
        <v>1627</v>
      </c>
      <c r="D51" s="243" t="s">
        <v>1968</v>
      </c>
      <c r="E51" s="272"/>
      <c r="F51" s="62"/>
      <c r="G51" s="60"/>
      <c r="H51" s="61"/>
      <c r="I51" s="109"/>
      <c r="J51" s="56"/>
      <c r="K51" s="57"/>
      <c r="L51" s="47"/>
      <c r="O51" s="62"/>
      <c r="P51" s="136"/>
      <c r="Q51" s="58">
        <f>ROUND((_11_A通院２６．０*(1+_11・A深夜)),0)</f>
        <v>1346</v>
      </c>
      <c r="R51" s="59"/>
    </row>
    <row r="52" spans="1:18" ht="16.5" customHeight="1" x14ac:dyDescent="0.2">
      <c r="A52" s="44">
        <v>16</v>
      </c>
      <c r="B52" s="53">
        <v>7296</v>
      </c>
      <c r="C52" s="69" t="s">
        <v>1628</v>
      </c>
      <c r="D52" s="273"/>
      <c r="E52" s="274"/>
      <c r="F52" s="54"/>
      <c r="G52" s="49"/>
      <c r="H52" s="50"/>
      <c r="I52" s="144" t="s">
        <v>396</v>
      </c>
      <c r="J52" s="131" t="s">
        <v>397</v>
      </c>
      <c r="K52" s="57">
        <v>1</v>
      </c>
      <c r="L52" s="47"/>
      <c r="O52" s="47"/>
      <c r="P52" s="133"/>
      <c r="Q52" s="58">
        <f>ROUND((ROUND((_11_A通院２６．０*_11・２人),0)*(1+_11・A深夜)),0)</f>
        <v>1346</v>
      </c>
      <c r="R52" s="59"/>
    </row>
    <row r="53" spans="1:18" ht="16.5" customHeight="1" x14ac:dyDescent="0.2">
      <c r="A53" s="44">
        <v>16</v>
      </c>
      <c r="B53" s="53">
        <v>7297</v>
      </c>
      <c r="C53" s="69" t="s">
        <v>1629</v>
      </c>
      <c r="D53" s="273"/>
      <c r="E53" s="274"/>
      <c r="F53" s="241" t="s">
        <v>398</v>
      </c>
      <c r="G53" s="132" t="s">
        <v>397</v>
      </c>
      <c r="H53" s="136">
        <v>0.9</v>
      </c>
      <c r="I53" s="109"/>
      <c r="J53" s="56"/>
      <c r="K53" s="57"/>
      <c r="L53" s="47"/>
      <c r="O53" s="47"/>
      <c r="P53" s="133"/>
      <c r="Q53" s="58">
        <f>ROUND((ROUND((_11_A通院２６．０*_11・基礎２),0)*(1+_11・A深夜)),0)</f>
        <v>1211</v>
      </c>
      <c r="R53" s="59"/>
    </row>
    <row r="54" spans="1:18" ht="16.5" customHeight="1" x14ac:dyDescent="0.2">
      <c r="A54" s="44">
        <v>16</v>
      </c>
      <c r="B54" s="53">
        <v>7298</v>
      </c>
      <c r="C54" s="69" t="s">
        <v>1630</v>
      </c>
      <c r="D54" s="142">
        <f>_11_A通院２６．０</f>
        <v>897</v>
      </c>
      <c r="E54" s="137" t="s">
        <v>394</v>
      </c>
      <c r="F54" s="276"/>
      <c r="G54" s="49"/>
      <c r="H54" s="135"/>
      <c r="I54" s="144" t="s">
        <v>396</v>
      </c>
      <c r="J54" s="131" t="s">
        <v>397</v>
      </c>
      <c r="K54" s="57">
        <v>1</v>
      </c>
      <c r="L54" s="47"/>
      <c r="O54" s="47"/>
      <c r="P54" s="133"/>
      <c r="Q54" s="58">
        <f>ROUND((ROUND((ROUND((_11_A通院２６．０*_11・基礎２),0)*_11・２人),0)*(1+_11・A深夜)),0)</f>
        <v>1211</v>
      </c>
      <c r="R54" s="59"/>
    </row>
    <row r="55" spans="1:18" ht="16.5" customHeight="1" x14ac:dyDescent="0.2">
      <c r="A55" s="44">
        <v>16</v>
      </c>
      <c r="B55" s="53">
        <v>7299</v>
      </c>
      <c r="C55" s="69" t="s">
        <v>1631</v>
      </c>
      <c r="D55" s="243" t="s">
        <v>1969</v>
      </c>
      <c r="E55" s="272"/>
      <c r="F55" s="62"/>
      <c r="G55" s="60"/>
      <c r="H55" s="61"/>
      <c r="I55" s="109"/>
      <c r="J55" s="56"/>
      <c r="K55" s="57"/>
      <c r="L55" s="47"/>
      <c r="M55" s="175"/>
      <c r="N55" s="176"/>
      <c r="O55" s="62"/>
      <c r="P55" s="136"/>
      <c r="Q55" s="58">
        <f>ROUND((_11_A通院２６．５*(1+_11・A深夜)),0)</f>
        <v>1449</v>
      </c>
      <c r="R55" s="59"/>
    </row>
    <row r="56" spans="1:18" ht="16.5" customHeight="1" x14ac:dyDescent="0.2">
      <c r="A56" s="44">
        <v>16</v>
      </c>
      <c r="B56" s="53">
        <v>7300</v>
      </c>
      <c r="C56" s="69" t="s">
        <v>1632</v>
      </c>
      <c r="D56" s="273"/>
      <c r="E56" s="274"/>
      <c r="F56" s="54"/>
      <c r="G56" s="49"/>
      <c r="H56" s="50"/>
      <c r="I56" s="144" t="s">
        <v>396</v>
      </c>
      <c r="J56" s="131" t="s">
        <v>397</v>
      </c>
      <c r="K56" s="57">
        <v>1</v>
      </c>
      <c r="L56" s="47"/>
      <c r="M56" s="175"/>
      <c r="N56" s="176"/>
      <c r="O56" s="47"/>
      <c r="P56" s="133"/>
      <c r="Q56" s="58">
        <f>ROUND((ROUND((_11_A通院２６．５*_11・２人),0)*(1+_11・A深夜)),0)</f>
        <v>1449</v>
      </c>
      <c r="R56" s="59"/>
    </row>
    <row r="57" spans="1:18" ht="16.5" customHeight="1" x14ac:dyDescent="0.2">
      <c r="A57" s="44">
        <v>16</v>
      </c>
      <c r="B57" s="53">
        <v>7301</v>
      </c>
      <c r="C57" s="69" t="s">
        <v>1633</v>
      </c>
      <c r="D57" s="273"/>
      <c r="E57" s="274"/>
      <c r="F57" s="241" t="s">
        <v>398</v>
      </c>
      <c r="G57" s="132" t="s">
        <v>397</v>
      </c>
      <c r="H57" s="136">
        <v>0.9</v>
      </c>
      <c r="I57" s="109"/>
      <c r="J57" s="56"/>
      <c r="K57" s="57"/>
      <c r="L57" s="47"/>
      <c r="M57" s="175"/>
      <c r="N57" s="176"/>
      <c r="O57" s="47"/>
      <c r="P57" s="133"/>
      <c r="Q57" s="58">
        <f>ROUND((ROUND((_11_A通院２６．５*_11・基礎２),0)*(1+_11・A深夜)),0)</f>
        <v>1304</v>
      </c>
      <c r="R57" s="59"/>
    </row>
    <row r="58" spans="1:18" ht="16.5" customHeight="1" x14ac:dyDescent="0.2">
      <c r="A58" s="44">
        <v>16</v>
      </c>
      <c r="B58" s="53">
        <v>7302</v>
      </c>
      <c r="C58" s="69" t="s">
        <v>1634</v>
      </c>
      <c r="D58" s="143">
        <f>_11_A通院２６．５</f>
        <v>966</v>
      </c>
      <c r="E58" s="141" t="s">
        <v>394</v>
      </c>
      <c r="F58" s="276"/>
      <c r="G58" s="49"/>
      <c r="H58" s="135"/>
      <c r="I58" s="144" t="s">
        <v>396</v>
      </c>
      <c r="J58" s="131" t="s">
        <v>397</v>
      </c>
      <c r="K58" s="57">
        <v>1</v>
      </c>
      <c r="L58" s="54"/>
      <c r="M58" s="49"/>
      <c r="N58" s="50"/>
      <c r="O58" s="54"/>
      <c r="P58" s="135"/>
      <c r="Q58" s="58">
        <f>ROUND((ROUND((ROUND((_11_A通院２６．５*_11・基礎２),0)*_11・２人),0)*(1+_11・A深夜)),0)</f>
        <v>1304</v>
      </c>
      <c r="R58" s="111"/>
    </row>
    <row r="59" spans="1:18" ht="16.5" customHeight="1" x14ac:dyDescent="0.2"/>
    <row r="60" spans="1:18" ht="16.5" customHeight="1" x14ac:dyDescent="0.2"/>
  </sheetData>
  <mergeCells count="28">
    <mergeCell ref="D7:E9"/>
    <mergeCell ref="N8:N9"/>
    <mergeCell ref="F9:F10"/>
    <mergeCell ref="D19:E21"/>
    <mergeCell ref="F21:F22"/>
    <mergeCell ref="D15:E17"/>
    <mergeCell ref="F17:F18"/>
    <mergeCell ref="D11:E13"/>
    <mergeCell ref="F13:F14"/>
    <mergeCell ref="D31:E33"/>
    <mergeCell ref="F33:F34"/>
    <mergeCell ref="D23:E25"/>
    <mergeCell ref="F25:F26"/>
    <mergeCell ref="D27:E29"/>
    <mergeCell ref="F29:F30"/>
    <mergeCell ref="D35:E37"/>
    <mergeCell ref="F37:F38"/>
    <mergeCell ref="D39:E41"/>
    <mergeCell ref="F41:F42"/>
    <mergeCell ref="D51:E53"/>
    <mergeCell ref="F53:F54"/>
    <mergeCell ref="D47:E49"/>
    <mergeCell ref="N48:N49"/>
    <mergeCell ref="F49:F50"/>
    <mergeCell ref="D55:E57"/>
    <mergeCell ref="F57:F58"/>
    <mergeCell ref="D43:E45"/>
    <mergeCell ref="F45:F4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54"/>
  <sheetViews>
    <sheetView workbookViewId="0"/>
  </sheetViews>
  <sheetFormatPr defaultColWidth="8.90625" defaultRowHeight="14" x14ac:dyDescent="0.2"/>
  <cols>
    <col min="1" max="1" width="4.6328125" style="22" customWidth="1"/>
    <col min="2" max="2" width="7.6328125" style="22" customWidth="1"/>
    <col min="3" max="3" width="37.453125" style="23" customWidth="1"/>
    <col min="4" max="4" width="4.90625" style="23" customWidth="1"/>
    <col min="5" max="5" width="4.90625" style="25" customWidth="1"/>
    <col min="6" max="6" width="4.90625" style="23" customWidth="1"/>
    <col min="7" max="7" width="4.90625" style="25" customWidth="1"/>
    <col min="8" max="8" width="11.90625" style="25" customWidth="1"/>
    <col min="9" max="9" width="2.453125" style="25" customWidth="1"/>
    <col min="10" max="10" width="4.453125" style="26" bestFit="1" customWidth="1"/>
    <col min="11" max="11" width="26" style="25" customWidth="1"/>
    <col min="12" max="12" width="2.453125" style="25" customWidth="1"/>
    <col min="13" max="13" width="5.453125" style="26" bestFit="1" customWidth="1"/>
    <col min="14" max="14" width="2.453125" style="25" customWidth="1"/>
    <col min="15" max="15" width="3.90625" style="25" customWidth="1"/>
    <col min="16" max="16" width="4.453125" style="26" customWidth="1"/>
    <col min="17" max="17" width="2.453125" style="25" customWidth="1"/>
    <col min="18" max="18" width="3.90625" style="25" customWidth="1"/>
    <col min="19" max="19" width="4.453125" style="26" bestFit="1" customWidth="1"/>
    <col min="20" max="20" width="9.90625" style="25" customWidth="1"/>
    <col min="21" max="21" width="4.453125" style="26" bestFit="1" customWidth="1"/>
    <col min="22" max="22" width="7.08984375" style="28" customWidth="1"/>
    <col min="23" max="23" width="8.6328125" style="29" customWidth="1"/>
    <col min="24" max="16384" width="8.90625" style="25"/>
  </cols>
  <sheetData>
    <row r="1" spans="1:23" ht="17.149999999999999" customHeight="1" x14ac:dyDescent="0.2"/>
    <row r="2" spans="1:23" ht="17.149999999999999" customHeight="1" x14ac:dyDescent="0.2"/>
    <row r="3" spans="1:23" ht="17.149999999999999" customHeight="1" x14ac:dyDescent="0.2"/>
    <row r="4" spans="1:23" ht="17.149999999999999" customHeight="1" x14ac:dyDescent="0.2">
      <c r="B4" s="30" t="s">
        <v>1636</v>
      </c>
      <c r="D4" s="65"/>
    </row>
    <row r="5" spans="1:23" ht="16.5" customHeight="1" x14ac:dyDescent="0.2">
      <c r="A5" s="31" t="s">
        <v>386</v>
      </c>
      <c r="B5" s="32"/>
      <c r="C5" s="33" t="s">
        <v>387</v>
      </c>
      <c r="D5" s="34" t="s">
        <v>388</v>
      </c>
      <c r="E5" s="34"/>
      <c r="F5" s="34"/>
      <c r="G5" s="34"/>
      <c r="H5" s="34"/>
      <c r="I5" s="34"/>
      <c r="J5" s="35"/>
      <c r="K5" s="34"/>
      <c r="L5" s="34"/>
      <c r="M5" s="35"/>
      <c r="N5" s="34"/>
      <c r="O5" s="34"/>
      <c r="P5" s="35"/>
      <c r="Q5" s="34"/>
      <c r="R5" s="34"/>
      <c r="S5" s="35"/>
      <c r="T5" s="34"/>
      <c r="U5" s="35"/>
      <c r="V5" s="36" t="s">
        <v>389</v>
      </c>
      <c r="W5" s="33" t="s">
        <v>390</v>
      </c>
    </row>
    <row r="6" spans="1:23" ht="16.5" customHeight="1" x14ac:dyDescent="0.2">
      <c r="A6" s="37" t="s">
        <v>391</v>
      </c>
      <c r="B6" s="37" t="s">
        <v>392</v>
      </c>
      <c r="C6" s="38"/>
      <c r="D6" s="77" t="s">
        <v>403</v>
      </c>
      <c r="E6" s="113"/>
      <c r="F6" s="77" t="s">
        <v>404</v>
      </c>
      <c r="G6" s="32"/>
      <c r="H6" s="40"/>
      <c r="I6" s="40"/>
      <c r="J6" s="41"/>
      <c r="K6" s="40"/>
      <c r="L6" s="40"/>
      <c r="M6" s="41"/>
      <c r="N6" s="40"/>
      <c r="O6" s="40"/>
      <c r="P6" s="41"/>
      <c r="Q6" s="40"/>
      <c r="R6" s="40"/>
      <c r="S6" s="41"/>
      <c r="T6" s="40"/>
      <c r="U6" s="41"/>
      <c r="V6" s="42" t="s">
        <v>393</v>
      </c>
      <c r="W6" s="43" t="s">
        <v>394</v>
      </c>
    </row>
    <row r="7" spans="1:23" ht="16.5" customHeight="1" x14ac:dyDescent="0.2">
      <c r="A7" s="44">
        <v>16</v>
      </c>
      <c r="B7" s="44">
        <v>7303</v>
      </c>
      <c r="C7" s="45" t="s">
        <v>1639</v>
      </c>
      <c r="D7" s="245" t="s">
        <v>1957</v>
      </c>
      <c r="E7" s="274"/>
      <c r="F7" s="245" t="s">
        <v>1970</v>
      </c>
      <c r="G7" s="274"/>
      <c r="H7" s="47"/>
      <c r="K7" s="54"/>
      <c r="L7" s="49"/>
      <c r="M7" s="50"/>
      <c r="N7" s="67" t="s">
        <v>405</v>
      </c>
      <c r="P7" s="133"/>
      <c r="Q7" s="80" t="s">
        <v>406</v>
      </c>
      <c r="S7" s="133"/>
      <c r="T7" s="47"/>
      <c r="V7" s="68">
        <f>ROUND((_11_A通院２０．５*(1+_11・A深夜)),0)+ROUND((_11_B通院２０．５＿０．５*(1+_11・B早朝)),0)</f>
        <v>273</v>
      </c>
      <c r="W7" s="52" t="s">
        <v>395</v>
      </c>
    </row>
    <row r="8" spans="1:23" ht="16.5" customHeight="1" x14ac:dyDescent="0.2">
      <c r="A8" s="44">
        <v>16</v>
      </c>
      <c r="B8" s="53">
        <v>7304</v>
      </c>
      <c r="C8" s="69" t="s">
        <v>1640</v>
      </c>
      <c r="D8" s="273"/>
      <c r="E8" s="274"/>
      <c r="F8" s="273"/>
      <c r="G8" s="274"/>
      <c r="H8" s="54"/>
      <c r="I8" s="49"/>
      <c r="J8" s="50"/>
      <c r="K8" s="144" t="s">
        <v>396</v>
      </c>
      <c r="L8" s="131" t="s">
        <v>397</v>
      </c>
      <c r="M8" s="57">
        <v>1</v>
      </c>
      <c r="N8" s="139" t="s">
        <v>397</v>
      </c>
      <c r="O8" s="26">
        <v>0.5</v>
      </c>
      <c r="P8" s="246" t="s">
        <v>400</v>
      </c>
      <c r="Q8" s="139" t="s">
        <v>397</v>
      </c>
      <c r="R8" s="26">
        <v>0.25</v>
      </c>
      <c r="S8" s="246" t="s">
        <v>400</v>
      </c>
      <c r="T8" s="47"/>
      <c r="V8" s="70">
        <f>ROUND((ROUND((_11_A通院２０．５*_11・２人),0)*(1+_11・A深夜)),0)+ROUND((ROUND((_11_B通院２０．５＿０．５*_11・２人),0)*(1+_11・B早朝)),0)</f>
        <v>273</v>
      </c>
      <c r="W8" s="59"/>
    </row>
    <row r="9" spans="1:23" ht="16.5" customHeight="1" x14ac:dyDescent="0.2">
      <c r="A9" s="44">
        <v>16</v>
      </c>
      <c r="B9" s="53">
        <v>7305</v>
      </c>
      <c r="C9" s="69" t="s">
        <v>1641</v>
      </c>
      <c r="D9" s="273"/>
      <c r="E9" s="274"/>
      <c r="F9" s="273"/>
      <c r="G9" s="274"/>
      <c r="H9" s="241" t="s">
        <v>398</v>
      </c>
      <c r="I9" s="132" t="s">
        <v>397</v>
      </c>
      <c r="J9" s="61">
        <v>0.9</v>
      </c>
      <c r="K9" s="109"/>
      <c r="L9" s="56"/>
      <c r="M9" s="57"/>
      <c r="N9" s="47"/>
      <c r="P9" s="274"/>
      <c r="Q9" s="47"/>
      <c r="S9" s="274"/>
      <c r="T9" s="47"/>
      <c r="V9" s="70">
        <f>ROUND((ROUND((_11_A通院２０．５*_11・基礎２),0)*(1+_11・A深夜)),0)+ROUND((ROUND((_11_B通院２０．５＿０．５*_11・基礎２),0)*(1+_11・B早朝)),0)</f>
        <v>246</v>
      </c>
      <c r="W9" s="59"/>
    </row>
    <row r="10" spans="1:23" ht="16.5" customHeight="1" x14ac:dyDescent="0.2">
      <c r="A10" s="44">
        <v>16</v>
      </c>
      <c r="B10" s="53">
        <v>7306</v>
      </c>
      <c r="C10" s="69" t="s">
        <v>1642</v>
      </c>
      <c r="D10" s="142">
        <f>_11_A通院２０．５</f>
        <v>106</v>
      </c>
      <c r="E10" s="23" t="s">
        <v>394</v>
      </c>
      <c r="F10" s="142">
        <f>_11_B通院２０．５＿０．５</f>
        <v>91</v>
      </c>
      <c r="G10" s="23" t="s">
        <v>394</v>
      </c>
      <c r="H10" s="242"/>
      <c r="I10" s="49"/>
      <c r="J10" s="50"/>
      <c r="K10" s="144" t="s">
        <v>396</v>
      </c>
      <c r="L10" s="131" t="s">
        <v>397</v>
      </c>
      <c r="M10" s="57">
        <v>1</v>
      </c>
      <c r="N10" s="47"/>
      <c r="P10" s="133"/>
      <c r="Q10" s="47"/>
      <c r="S10" s="133"/>
      <c r="T10" s="47"/>
      <c r="V10" s="70">
        <f>ROUND((ROUND((ROUND((_11_A通院２０．５*_11・基礎２),0)*_11・２人),0)*(1+_11・A深夜)),0)+ROUND((ROUND((ROUND((_11_B通院２０．５＿０．５*_11・基礎２),0)*_11・２人),0)*(1+_11・B早朝)),0)</f>
        <v>246</v>
      </c>
      <c r="W10" s="59"/>
    </row>
    <row r="11" spans="1:23" ht="16.5" customHeight="1" x14ac:dyDescent="0.2">
      <c r="A11" s="44">
        <v>16</v>
      </c>
      <c r="B11" s="53">
        <v>7307</v>
      </c>
      <c r="C11" s="69" t="s">
        <v>1643</v>
      </c>
      <c r="D11" s="67"/>
      <c r="F11" s="243" t="s">
        <v>1971</v>
      </c>
      <c r="G11" s="272"/>
      <c r="H11" s="62"/>
      <c r="I11" s="60"/>
      <c r="J11" s="61"/>
      <c r="K11" s="109"/>
      <c r="L11" s="56"/>
      <c r="M11" s="57"/>
      <c r="N11" s="47"/>
      <c r="Q11" s="47"/>
      <c r="T11" s="62"/>
      <c r="U11" s="61"/>
      <c r="V11" s="70">
        <f>ROUND((_11_A通院２０．５*(1+_11・A深夜)),0)+ROUND((_11_B通院２０．５＿１．０*(1+_11・B早朝)),0)</f>
        <v>370</v>
      </c>
      <c r="W11" s="59"/>
    </row>
    <row r="12" spans="1:23" ht="16.5" customHeight="1" x14ac:dyDescent="0.2">
      <c r="A12" s="44">
        <v>16</v>
      </c>
      <c r="B12" s="53">
        <v>7308</v>
      </c>
      <c r="C12" s="69" t="s">
        <v>1644</v>
      </c>
      <c r="D12" s="67"/>
      <c r="F12" s="273"/>
      <c r="G12" s="274"/>
      <c r="H12" s="54"/>
      <c r="I12" s="49"/>
      <c r="J12" s="50"/>
      <c r="K12" s="144" t="s">
        <v>396</v>
      </c>
      <c r="L12" s="131" t="s">
        <v>397</v>
      </c>
      <c r="M12" s="140">
        <v>1</v>
      </c>
      <c r="N12" s="47"/>
      <c r="Q12" s="47"/>
      <c r="T12" s="47"/>
      <c r="V12" s="70">
        <f>ROUND((ROUND((_11_A通院２０．５*_11・２人),0)*(1+_11・A深夜)),0)+ROUND((ROUND((_11_B通院２０．５＿１．０*_11・２人),0)*(1+_11・B早朝)),0)</f>
        <v>370</v>
      </c>
      <c r="W12" s="59"/>
    </row>
    <row r="13" spans="1:23" ht="16.5" customHeight="1" x14ac:dyDescent="0.2">
      <c r="A13" s="44">
        <v>16</v>
      </c>
      <c r="B13" s="53">
        <v>7309</v>
      </c>
      <c r="C13" s="69" t="s">
        <v>1645</v>
      </c>
      <c r="D13" s="67"/>
      <c r="F13" s="273"/>
      <c r="G13" s="274"/>
      <c r="H13" s="275" t="s">
        <v>398</v>
      </c>
      <c r="I13" s="132" t="s">
        <v>397</v>
      </c>
      <c r="J13" s="61">
        <v>0.9</v>
      </c>
      <c r="K13" s="109"/>
      <c r="L13" s="56"/>
      <c r="M13" s="57"/>
      <c r="N13" s="47"/>
      <c r="Q13" s="47"/>
      <c r="T13" s="47"/>
      <c r="V13" s="70">
        <f>ROUND((ROUND((_11_A通院２０．５*_11・基礎２),0)*(1+_11・A深夜)),0)+ROUND((ROUND((_11_B通院２０．５＿１．０*_11・基礎２),0)*(1+_11・B早朝)),0)</f>
        <v>333</v>
      </c>
      <c r="W13" s="59"/>
    </row>
    <row r="14" spans="1:23" ht="16.5" customHeight="1" x14ac:dyDescent="0.2">
      <c r="A14" s="44">
        <v>16</v>
      </c>
      <c r="B14" s="53">
        <v>7310</v>
      </c>
      <c r="C14" s="69" t="s">
        <v>1646</v>
      </c>
      <c r="D14" s="67"/>
      <c r="F14" s="142">
        <f>_11_B通院２０．５＿１．０</f>
        <v>169</v>
      </c>
      <c r="G14" s="137" t="s">
        <v>394</v>
      </c>
      <c r="H14" s="242"/>
      <c r="I14" s="49"/>
      <c r="J14" s="50"/>
      <c r="K14" s="144" t="s">
        <v>396</v>
      </c>
      <c r="L14" s="131" t="s">
        <v>397</v>
      </c>
      <c r="M14" s="140">
        <v>1</v>
      </c>
      <c r="N14" s="47"/>
      <c r="Q14" s="47"/>
      <c r="T14" s="47"/>
      <c r="V14" s="70">
        <f>ROUND((ROUND((ROUND((_11_A通院２０．５*_11・基礎２),0)*_11・２人),0)*(1+_11・A深夜)),0)+ROUND((ROUND((ROUND((_11_B通院２０．５＿１．０*_11・基礎２),0)*_11・２人),0)*(1+_11・B早朝)),0)</f>
        <v>333</v>
      </c>
      <c r="W14" s="59"/>
    </row>
    <row r="15" spans="1:23" ht="16.5" customHeight="1" x14ac:dyDescent="0.2">
      <c r="A15" s="44">
        <v>16</v>
      </c>
      <c r="B15" s="53">
        <v>7311</v>
      </c>
      <c r="C15" s="69" t="s">
        <v>1647</v>
      </c>
      <c r="D15" s="243" t="s">
        <v>1958</v>
      </c>
      <c r="E15" s="272"/>
      <c r="F15" s="243" t="s">
        <v>1970</v>
      </c>
      <c r="G15" s="272"/>
      <c r="H15" s="62"/>
      <c r="I15" s="60"/>
      <c r="J15" s="61"/>
      <c r="K15" s="109"/>
      <c r="L15" s="56"/>
      <c r="M15" s="57"/>
      <c r="N15" s="47"/>
      <c r="O15" s="175"/>
      <c r="P15" s="176"/>
      <c r="Q15" s="47"/>
      <c r="R15" s="175"/>
      <c r="S15" s="176"/>
      <c r="T15" s="62"/>
      <c r="U15" s="61"/>
      <c r="V15" s="70">
        <f>ROUND((_11_A通院２１．０*(1+_11・A深夜)),0)+ROUND((_11_B通院２１．０＿０．５*(1+_11・B早朝)),0)</f>
        <v>394</v>
      </c>
      <c r="W15" s="59"/>
    </row>
    <row r="16" spans="1:23" ht="16.5" customHeight="1" x14ac:dyDescent="0.2">
      <c r="A16" s="44">
        <v>16</v>
      </c>
      <c r="B16" s="53">
        <v>7312</v>
      </c>
      <c r="C16" s="69" t="s">
        <v>1648</v>
      </c>
      <c r="D16" s="273"/>
      <c r="E16" s="274"/>
      <c r="F16" s="273"/>
      <c r="G16" s="274"/>
      <c r="H16" s="54"/>
      <c r="I16" s="49"/>
      <c r="J16" s="50"/>
      <c r="K16" s="144" t="s">
        <v>396</v>
      </c>
      <c r="L16" s="131" t="s">
        <v>397</v>
      </c>
      <c r="M16" s="140">
        <v>1</v>
      </c>
      <c r="N16" s="47"/>
      <c r="O16" s="175"/>
      <c r="P16" s="176"/>
      <c r="Q16" s="47"/>
      <c r="R16" s="175"/>
      <c r="S16" s="176"/>
      <c r="T16" s="47"/>
      <c r="U16" s="176"/>
      <c r="V16" s="70">
        <f>ROUND((ROUND((_11_A通院２１．０*_11・２人),0)*(1+_11・A深夜)),0)+ROUND((ROUND((_11_B通院２１．０＿０．５*_11・２人),0)*(1+_11・B早朝)),0)</f>
        <v>394</v>
      </c>
      <c r="W16" s="59"/>
    </row>
    <row r="17" spans="1:23" ht="16.5" customHeight="1" x14ac:dyDescent="0.2">
      <c r="A17" s="44">
        <v>16</v>
      </c>
      <c r="B17" s="53">
        <v>7313</v>
      </c>
      <c r="C17" s="69" t="s">
        <v>1649</v>
      </c>
      <c r="D17" s="273"/>
      <c r="E17" s="274"/>
      <c r="F17" s="273"/>
      <c r="G17" s="274"/>
      <c r="H17" s="275" t="s">
        <v>398</v>
      </c>
      <c r="I17" s="132" t="s">
        <v>397</v>
      </c>
      <c r="J17" s="61">
        <v>0.9</v>
      </c>
      <c r="K17" s="109"/>
      <c r="L17" s="56"/>
      <c r="M17" s="57"/>
      <c r="N17" s="47"/>
      <c r="O17" s="175"/>
      <c r="P17" s="176"/>
      <c r="Q17" s="47"/>
      <c r="R17" s="175"/>
      <c r="S17" s="176"/>
      <c r="T17" s="47"/>
      <c r="U17" s="176"/>
      <c r="V17" s="70">
        <f>ROUND((ROUND((_11_A通院２１．０*_11・基礎２),0)*(1+_11・A深夜)),0)+ROUND((ROUND((_11_B通院２１．０＿０．５*_11・基礎２),0)*(1+_11・B早朝)),0)</f>
        <v>354</v>
      </c>
      <c r="W17" s="59"/>
    </row>
    <row r="18" spans="1:23" ht="16.5" customHeight="1" x14ac:dyDescent="0.2">
      <c r="A18" s="44">
        <v>16</v>
      </c>
      <c r="B18" s="53">
        <v>7314</v>
      </c>
      <c r="C18" s="69" t="s">
        <v>1650</v>
      </c>
      <c r="D18" s="143">
        <f>_11_A通院２１．０</f>
        <v>197</v>
      </c>
      <c r="E18" s="141" t="s">
        <v>394</v>
      </c>
      <c r="F18" s="143">
        <f>_11_B通院２１．０＿０．５</f>
        <v>78</v>
      </c>
      <c r="G18" s="141" t="s">
        <v>394</v>
      </c>
      <c r="H18" s="242"/>
      <c r="I18" s="49"/>
      <c r="J18" s="50"/>
      <c r="K18" s="144" t="s">
        <v>396</v>
      </c>
      <c r="L18" s="131" t="s">
        <v>397</v>
      </c>
      <c r="M18" s="140">
        <v>1</v>
      </c>
      <c r="N18" s="54"/>
      <c r="O18" s="49"/>
      <c r="P18" s="50"/>
      <c r="Q18" s="54"/>
      <c r="R18" s="49"/>
      <c r="S18" s="50"/>
      <c r="T18" s="54"/>
      <c r="U18" s="50"/>
      <c r="V18" s="70">
        <f>ROUND((ROUND((ROUND((_11_A通院２１．０*_11・基礎２),0)*_11・２人),0)*(1+_11・A深夜)),0)+ROUND((ROUND((ROUND((_11_B通院２１．０＿０．５*_11・基礎２),0)*_11・２人),0)*(1+_11・B早朝)),0)</f>
        <v>354</v>
      </c>
      <c r="W18" s="111"/>
    </row>
    <row r="19" spans="1:23" ht="16.5" customHeight="1" x14ac:dyDescent="0.2">
      <c r="A19" s="71"/>
      <c r="B19" s="71"/>
      <c r="C19" s="72"/>
      <c r="K19" s="73"/>
      <c r="V19" s="74"/>
      <c r="W19" s="75"/>
    </row>
    <row r="20" spans="1:23" ht="16.5" customHeight="1" x14ac:dyDescent="0.2">
      <c r="A20" s="71"/>
      <c r="B20" s="71"/>
      <c r="C20" s="72"/>
      <c r="K20" s="73"/>
      <c r="V20" s="74"/>
      <c r="W20" s="75"/>
    </row>
    <row r="21" spans="1:23" ht="16.5" customHeight="1" x14ac:dyDescent="0.2">
      <c r="A21" s="71"/>
      <c r="B21" s="76" t="s">
        <v>1637</v>
      </c>
      <c r="C21" s="72"/>
      <c r="D21" s="65"/>
      <c r="K21" s="73"/>
      <c r="V21" s="74"/>
      <c r="W21" s="75"/>
    </row>
    <row r="22" spans="1:23" ht="16.5" customHeight="1" x14ac:dyDescent="0.2">
      <c r="A22" s="77" t="s">
        <v>386</v>
      </c>
      <c r="B22" s="32"/>
      <c r="C22" s="78" t="s">
        <v>387</v>
      </c>
      <c r="D22" s="34" t="s">
        <v>388</v>
      </c>
      <c r="E22" s="34"/>
      <c r="F22" s="34"/>
      <c r="G22" s="34"/>
      <c r="H22" s="34"/>
      <c r="I22" s="34"/>
      <c r="J22" s="35"/>
      <c r="K22" s="146"/>
      <c r="L22" s="34"/>
      <c r="M22" s="35"/>
      <c r="N22" s="34"/>
      <c r="O22" s="34"/>
      <c r="P22" s="35"/>
      <c r="Q22" s="34"/>
      <c r="R22" s="34"/>
      <c r="S22" s="35"/>
      <c r="T22" s="34"/>
      <c r="U22" s="35"/>
      <c r="V22" s="36" t="s">
        <v>389</v>
      </c>
      <c r="W22" s="33" t="s">
        <v>390</v>
      </c>
    </row>
    <row r="23" spans="1:23" ht="16.5" customHeight="1" x14ac:dyDescent="0.2">
      <c r="A23" s="37" t="s">
        <v>391</v>
      </c>
      <c r="B23" s="37" t="s">
        <v>392</v>
      </c>
      <c r="C23" s="79"/>
      <c r="D23" s="77" t="s">
        <v>403</v>
      </c>
      <c r="E23" s="32"/>
      <c r="F23" s="40"/>
      <c r="G23" s="40"/>
      <c r="H23" s="40"/>
      <c r="I23" s="40"/>
      <c r="J23" s="41"/>
      <c r="K23" s="147"/>
      <c r="L23" s="40"/>
      <c r="M23" s="41"/>
      <c r="N23" s="40"/>
      <c r="O23" s="40"/>
      <c r="P23" s="41"/>
      <c r="Q23" s="40"/>
      <c r="R23" s="40"/>
      <c r="S23" s="41"/>
      <c r="T23" s="40"/>
      <c r="U23" s="41"/>
      <c r="V23" s="42" t="s">
        <v>393</v>
      </c>
      <c r="W23" s="43" t="s">
        <v>394</v>
      </c>
    </row>
    <row r="24" spans="1:23" ht="16.5" customHeight="1" x14ac:dyDescent="0.2">
      <c r="A24" s="148">
        <v>16</v>
      </c>
      <c r="B24" s="44">
        <v>7315</v>
      </c>
      <c r="C24" s="45" t="s">
        <v>1651</v>
      </c>
      <c r="D24" s="245" t="s">
        <v>1943</v>
      </c>
      <c r="E24" s="274"/>
      <c r="F24" s="245" t="s">
        <v>1975</v>
      </c>
      <c r="G24" s="274"/>
      <c r="H24" s="47"/>
      <c r="K24" s="64"/>
      <c r="L24" s="49"/>
      <c r="M24" s="50"/>
      <c r="N24" s="67" t="s">
        <v>407</v>
      </c>
      <c r="P24" s="133"/>
      <c r="Q24" s="47"/>
      <c r="S24" s="133"/>
      <c r="T24" s="47"/>
      <c r="V24" s="81">
        <f>ROUND((_11_A通院２０．５*(1+_11・A早朝)),0)+_11_B通院２０．５＿０．５</f>
        <v>224</v>
      </c>
      <c r="W24" s="52" t="s">
        <v>395</v>
      </c>
    </row>
    <row r="25" spans="1:23" ht="16.5" customHeight="1" x14ac:dyDescent="0.2">
      <c r="A25" s="148">
        <v>16</v>
      </c>
      <c r="B25" s="53">
        <v>7316</v>
      </c>
      <c r="C25" s="69" t="s">
        <v>1652</v>
      </c>
      <c r="D25" s="273"/>
      <c r="E25" s="274"/>
      <c r="F25" s="273"/>
      <c r="G25" s="274"/>
      <c r="H25" s="54"/>
      <c r="I25" s="49"/>
      <c r="J25" s="50"/>
      <c r="K25" s="144" t="s">
        <v>396</v>
      </c>
      <c r="L25" s="131" t="s">
        <v>397</v>
      </c>
      <c r="M25" s="57">
        <v>1</v>
      </c>
      <c r="N25" s="80" t="s">
        <v>397</v>
      </c>
      <c r="O25" s="26">
        <v>0.25</v>
      </c>
      <c r="P25" s="246" t="s">
        <v>400</v>
      </c>
      <c r="Q25" s="47"/>
      <c r="S25" s="133"/>
      <c r="T25" s="47"/>
      <c r="V25" s="82">
        <f>ROUND((ROUND((_11_A通院２０．５*_11・２人),0)*(1+_11・A早朝)),0)+ROUND((_11_B通院２０．５＿０．５*_11・２人),0)</f>
        <v>224</v>
      </c>
      <c r="W25" s="59"/>
    </row>
    <row r="26" spans="1:23" ht="16.5" customHeight="1" x14ac:dyDescent="0.2">
      <c r="A26" s="148">
        <v>16</v>
      </c>
      <c r="B26" s="53">
        <v>7317</v>
      </c>
      <c r="C26" s="69" t="s">
        <v>1653</v>
      </c>
      <c r="D26" s="273"/>
      <c r="E26" s="274"/>
      <c r="F26" s="273"/>
      <c r="G26" s="274"/>
      <c r="H26" s="241" t="s">
        <v>398</v>
      </c>
      <c r="I26" s="132" t="s">
        <v>397</v>
      </c>
      <c r="J26" s="61">
        <v>0.9</v>
      </c>
      <c r="K26" s="145"/>
      <c r="L26" s="56"/>
      <c r="M26" s="57"/>
      <c r="N26" s="47"/>
      <c r="P26" s="274"/>
      <c r="Q26" s="47"/>
      <c r="S26" s="133"/>
      <c r="T26" s="47"/>
      <c r="V26" s="82">
        <f>ROUND((ROUND((_11_A通院２０．５*_11・基礎２),0)*(1+_11・A早朝)),0)+ROUND((_11_B通院２０．５＿０．５*_11・基礎２),0)</f>
        <v>201</v>
      </c>
      <c r="W26" s="59"/>
    </row>
    <row r="27" spans="1:23" ht="16.5" customHeight="1" x14ac:dyDescent="0.2">
      <c r="A27" s="148">
        <v>16</v>
      </c>
      <c r="B27" s="53">
        <v>7318</v>
      </c>
      <c r="C27" s="69" t="s">
        <v>1654</v>
      </c>
      <c r="D27" s="142">
        <f>_11_A通院２０．５</f>
        <v>106</v>
      </c>
      <c r="E27" s="137" t="s">
        <v>394</v>
      </c>
      <c r="F27" s="142">
        <f>_11_B通院２０．５＿０．５</f>
        <v>91</v>
      </c>
      <c r="G27" s="137" t="s">
        <v>394</v>
      </c>
      <c r="H27" s="242"/>
      <c r="I27" s="49"/>
      <c r="J27" s="50"/>
      <c r="K27" s="144" t="s">
        <v>396</v>
      </c>
      <c r="L27" s="131" t="s">
        <v>397</v>
      </c>
      <c r="M27" s="57">
        <v>1</v>
      </c>
      <c r="N27" s="47"/>
      <c r="P27" s="133"/>
      <c r="Q27" s="47"/>
      <c r="S27" s="133"/>
      <c r="T27" s="47"/>
      <c r="V27" s="82">
        <f>ROUND((ROUND((ROUND((_11_A通院２０．５*_11・基礎２),0)*_11・２人),0)*(1+_11・A早朝)),0)+ROUND((ROUND((_11_B通院２０．５＿０．５*_11・基礎２),0)*_11・２人),0)</f>
        <v>201</v>
      </c>
      <c r="W27" s="59"/>
    </row>
    <row r="28" spans="1:23" ht="16.5" customHeight="1" x14ac:dyDescent="0.2">
      <c r="A28" s="148">
        <v>16</v>
      </c>
      <c r="B28" s="53">
        <v>7319</v>
      </c>
      <c r="C28" s="69" t="s">
        <v>1655</v>
      </c>
      <c r="D28" s="67"/>
      <c r="F28" s="243" t="s">
        <v>1976</v>
      </c>
      <c r="G28" s="272"/>
      <c r="H28" s="62"/>
      <c r="I28" s="60"/>
      <c r="J28" s="61"/>
      <c r="K28" s="145"/>
      <c r="L28" s="56"/>
      <c r="M28" s="57"/>
      <c r="N28" s="47"/>
      <c r="Q28" s="47"/>
      <c r="S28" s="133"/>
      <c r="T28" s="62"/>
      <c r="U28" s="61"/>
      <c r="V28" s="82">
        <f>ROUND((_11_A通院２０．５*(1+_11・A早朝)),0)+_11_B通院２０．５＿１．０</f>
        <v>302</v>
      </c>
      <c r="W28" s="59"/>
    </row>
    <row r="29" spans="1:23" ht="16.5" customHeight="1" x14ac:dyDescent="0.2">
      <c r="A29" s="148">
        <v>16</v>
      </c>
      <c r="B29" s="53">
        <v>7320</v>
      </c>
      <c r="C29" s="69" t="s">
        <v>1656</v>
      </c>
      <c r="D29" s="67"/>
      <c r="F29" s="273"/>
      <c r="G29" s="274"/>
      <c r="H29" s="54"/>
      <c r="I29" s="49"/>
      <c r="J29" s="50"/>
      <c r="K29" s="144" t="s">
        <v>396</v>
      </c>
      <c r="L29" s="131" t="s">
        <v>397</v>
      </c>
      <c r="M29" s="140">
        <v>1</v>
      </c>
      <c r="N29" s="47"/>
      <c r="Q29" s="47"/>
      <c r="S29" s="133"/>
      <c r="T29" s="47"/>
      <c r="V29" s="82">
        <f>ROUND((ROUND((_11_A通院２０．５*_11・２人),0)*(1+_11・A早朝)),0)+ROUND((_11_B通院２０．５＿１．０*_11・２人),0)</f>
        <v>302</v>
      </c>
      <c r="W29" s="59"/>
    </row>
    <row r="30" spans="1:23" ht="16.5" customHeight="1" x14ac:dyDescent="0.2">
      <c r="A30" s="148">
        <v>16</v>
      </c>
      <c r="B30" s="53">
        <v>7321</v>
      </c>
      <c r="C30" s="69" t="s">
        <v>1657</v>
      </c>
      <c r="D30" s="67"/>
      <c r="F30" s="273"/>
      <c r="G30" s="274"/>
      <c r="H30" s="275" t="s">
        <v>398</v>
      </c>
      <c r="I30" s="132" t="s">
        <v>397</v>
      </c>
      <c r="J30" s="61">
        <v>0.9</v>
      </c>
      <c r="K30" s="145"/>
      <c r="L30" s="56"/>
      <c r="M30" s="57"/>
      <c r="N30" s="47"/>
      <c r="Q30" s="47"/>
      <c r="S30" s="133"/>
      <c r="T30" s="47"/>
      <c r="V30" s="82">
        <f>ROUND((ROUND((_11_A通院２０．５*_11・基礎２),0)*(1+_11・A早朝)),0)+ROUND((_11_B通院２０．５＿１．０*_11・基礎２),0)</f>
        <v>271</v>
      </c>
      <c r="W30" s="59"/>
    </row>
    <row r="31" spans="1:23" ht="16.5" customHeight="1" x14ac:dyDescent="0.2">
      <c r="A31" s="148">
        <v>16</v>
      </c>
      <c r="B31" s="53">
        <v>7322</v>
      </c>
      <c r="C31" s="69" t="s">
        <v>1658</v>
      </c>
      <c r="D31" s="67"/>
      <c r="F31" s="142">
        <f>_11_B通院２０．５＿１．０</f>
        <v>169</v>
      </c>
      <c r="G31" s="137" t="s">
        <v>394</v>
      </c>
      <c r="H31" s="242"/>
      <c r="I31" s="49"/>
      <c r="J31" s="50"/>
      <c r="K31" s="144" t="s">
        <v>396</v>
      </c>
      <c r="L31" s="131" t="s">
        <v>397</v>
      </c>
      <c r="M31" s="140">
        <v>1</v>
      </c>
      <c r="N31" s="47"/>
      <c r="Q31" s="47"/>
      <c r="S31" s="133"/>
      <c r="T31" s="54"/>
      <c r="U31" s="50"/>
      <c r="V31" s="82">
        <f>ROUND((ROUND((ROUND((_11_A通院２０．５*_11・基礎２),0)*_11・２人),0)*(1+_11・A早朝)),0)+ROUND((ROUND((_11_B通院２０．５＿１．０*_11・基礎２),0)*_11・２人),0)</f>
        <v>271</v>
      </c>
      <c r="W31" s="59"/>
    </row>
    <row r="32" spans="1:23" ht="16.5" customHeight="1" x14ac:dyDescent="0.2">
      <c r="A32" s="148">
        <v>16</v>
      </c>
      <c r="B32" s="53">
        <v>7323</v>
      </c>
      <c r="C32" s="69" t="s">
        <v>1659</v>
      </c>
      <c r="D32" s="243" t="s">
        <v>1944</v>
      </c>
      <c r="E32" s="272"/>
      <c r="F32" s="243" t="s">
        <v>1975</v>
      </c>
      <c r="G32" s="272"/>
      <c r="H32" s="62"/>
      <c r="I32" s="60"/>
      <c r="J32" s="61"/>
      <c r="K32" s="145"/>
      <c r="L32" s="56"/>
      <c r="M32" s="57"/>
      <c r="N32" s="47"/>
      <c r="O32" s="175"/>
      <c r="P32" s="176"/>
      <c r="Q32" s="47"/>
      <c r="R32" s="175"/>
      <c r="S32" s="133"/>
      <c r="T32" s="62"/>
      <c r="U32" s="61"/>
      <c r="V32" s="82">
        <f>ROUND((_11_A通院２１．０*(1+_11・A早朝)),0)+_11_B通院２１．０＿０．５</f>
        <v>324</v>
      </c>
      <c r="W32" s="59"/>
    </row>
    <row r="33" spans="1:23" ht="16.5" customHeight="1" x14ac:dyDescent="0.2">
      <c r="A33" s="148">
        <v>16</v>
      </c>
      <c r="B33" s="53">
        <v>7324</v>
      </c>
      <c r="C33" s="69" t="s">
        <v>1660</v>
      </c>
      <c r="D33" s="273"/>
      <c r="E33" s="274"/>
      <c r="F33" s="273"/>
      <c r="G33" s="274"/>
      <c r="H33" s="54"/>
      <c r="I33" s="49"/>
      <c r="J33" s="50"/>
      <c r="K33" s="144" t="s">
        <v>396</v>
      </c>
      <c r="L33" s="131" t="s">
        <v>397</v>
      </c>
      <c r="M33" s="140">
        <v>1</v>
      </c>
      <c r="N33" s="47"/>
      <c r="O33" s="175"/>
      <c r="P33" s="176"/>
      <c r="Q33" s="47"/>
      <c r="R33" s="175"/>
      <c r="S33" s="133"/>
      <c r="T33" s="47"/>
      <c r="U33" s="176"/>
      <c r="V33" s="82">
        <f>ROUND((ROUND((_11_A通院２１．０*_11・２人),0)*(1+_11・A早朝)),0)+ROUND((_11_B通院２１．０＿０．５*_11・２人),0)</f>
        <v>324</v>
      </c>
      <c r="W33" s="59"/>
    </row>
    <row r="34" spans="1:23" ht="16.5" customHeight="1" x14ac:dyDescent="0.2">
      <c r="A34" s="148">
        <v>16</v>
      </c>
      <c r="B34" s="53">
        <v>7325</v>
      </c>
      <c r="C34" s="69" t="s">
        <v>1661</v>
      </c>
      <c r="D34" s="273"/>
      <c r="E34" s="274"/>
      <c r="F34" s="273"/>
      <c r="G34" s="274"/>
      <c r="H34" s="275" t="s">
        <v>398</v>
      </c>
      <c r="I34" s="132" t="s">
        <v>397</v>
      </c>
      <c r="J34" s="61">
        <v>0.9</v>
      </c>
      <c r="K34" s="145"/>
      <c r="L34" s="56"/>
      <c r="M34" s="57"/>
      <c r="N34" s="47"/>
      <c r="O34" s="175"/>
      <c r="P34" s="176"/>
      <c r="Q34" s="47"/>
      <c r="R34" s="175"/>
      <c r="S34" s="133"/>
      <c r="T34" s="47"/>
      <c r="U34" s="176"/>
      <c r="V34" s="82">
        <f>ROUND((ROUND((_11_A通院２１．０*_11・基礎２),0)*(1+_11・A早朝)),0)+ROUND((_11_B通院２１．０＿０．５*_11・基礎２),0)</f>
        <v>291</v>
      </c>
      <c r="W34" s="59"/>
    </row>
    <row r="35" spans="1:23" ht="16.5" customHeight="1" x14ac:dyDescent="0.2">
      <c r="A35" s="148">
        <v>16</v>
      </c>
      <c r="B35" s="53">
        <v>7326</v>
      </c>
      <c r="C35" s="69" t="s">
        <v>1662</v>
      </c>
      <c r="D35" s="143">
        <f>_11_A通院２１．０</f>
        <v>197</v>
      </c>
      <c r="E35" s="141" t="s">
        <v>394</v>
      </c>
      <c r="F35" s="143">
        <f>_11_B通院２１．０＿０．５</f>
        <v>78</v>
      </c>
      <c r="G35" s="141" t="s">
        <v>394</v>
      </c>
      <c r="H35" s="242"/>
      <c r="I35" s="49"/>
      <c r="J35" s="50"/>
      <c r="K35" s="144" t="s">
        <v>396</v>
      </c>
      <c r="L35" s="131" t="s">
        <v>397</v>
      </c>
      <c r="M35" s="140">
        <v>1</v>
      </c>
      <c r="N35" s="54"/>
      <c r="O35" s="49"/>
      <c r="P35" s="50"/>
      <c r="Q35" s="54"/>
      <c r="R35" s="49"/>
      <c r="S35" s="135"/>
      <c r="T35" s="54"/>
      <c r="U35" s="50"/>
      <c r="V35" s="82">
        <f>ROUND((ROUND((ROUND((_11_A通院２１．０*_11・基礎２),0)*_11・２人),0)*(1+_11・A早朝)),0)+ROUND((ROUND((_11_B通院２１．０＿０．５*_11・基礎２),0)*_11・２人),0)</f>
        <v>291</v>
      </c>
      <c r="W35" s="111"/>
    </row>
    <row r="36" spans="1:23" ht="16.5" customHeight="1" x14ac:dyDescent="0.2">
      <c r="A36" s="71"/>
      <c r="B36" s="71"/>
      <c r="C36" s="72"/>
      <c r="K36" s="73"/>
      <c r="V36" s="74"/>
      <c r="W36" s="75"/>
    </row>
    <row r="37" spans="1:23" ht="16.5" customHeight="1" x14ac:dyDescent="0.2">
      <c r="A37" s="71"/>
      <c r="B37" s="71"/>
      <c r="C37" s="72"/>
      <c r="K37" s="73"/>
      <c r="V37" s="74"/>
      <c r="W37" s="75"/>
    </row>
    <row r="38" spans="1:23" ht="16.5" customHeight="1" x14ac:dyDescent="0.2">
      <c r="A38" s="71"/>
      <c r="B38" s="76" t="s">
        <v>1638</v>
      </c>
      <c r="C38" s="72"/>
      <c r="D38" s="65"/>
      <c r="K38" s="73"/>
      <c r="V38" s="74"/>
      <c r="W38" s="75"/>
    </row>
    <row r="39" spans="1:23" ht="16.5" customHeight="1" x14ac:dyDescent="0.2">
      <c r="A39" s="77" t="s">
        <v>386</v>
      </c>
      <c r="B39" s="32"/>
      <c r="C39" s="78" t="s">
        <v>387</v>
      </c>
      <c r="D39" s="34" t="s">
        <v>388</v>
      </c>
      <c r="E39" s="34"/>
      <c r="F39" s="34"/>
      <c r="G39" s="34"/>
      <c r="H39" s="34"/>
      <c r="I39" s="34"/>
      <c r="J39" s="35"/>
      <c r="K39" s="146"/>
      <c r="L39" s="34"/>
      <c r="M39" s="35"/>
      <c r="N39" s="34"/>
      <c r="O39" s="34"/>
      <c r="P39" s="35"/>
      <c r="Q39" s="34"/>
      <c r="R39" s="34"/>
      <c r="S39" s="35"/>
      <c r="T39" s="34"/>
      <c r="U39" s="35"/>
      <c r="V39" s="36" t="s">
        <v>389</v>
      </c>
      <c r="W39" s="33" t="s">
        <v>390</v>
      </c>
    </row>
    <row r="40" spans="1:23" ht="16.5" customHeight="1" x14ac:dyDescent="0.2">
      <c r="A40" s="37" t="s">
        <v>391</v>
      </c>
      <c r="B40" s="37" t="s">
        <v>392</v>
      </c>
      <c r="C40" s="79"/>
      <c r="D40" s="40"/>
      <c r="E40" s="40"/>
      <c r="F40" s="77" t="s">
        <v>403</v>
      </c>
      <c r="G40" s="32"/>
      <c r="H40" s="40"/>
      <c r="I40" s="40"/>
      <c r="J40" s="41"/>
      <c r="K40" s="147"/>
      <c r="L40" s="40"/>
      <c r="M40" s="41"/>
      <c r="N40" s="40"/>
      <c r="O40" s="40"/>
      <c r="P40" s="41"/>
      <c r="Q40" s="40"/>
      <c r="R40" s="40"/>
      <c r="S40" s="41"/>
      <c r="T40" s="40"/>
      <c r="U40" s="41"/>
      <c r="V40" s="42" t="s">
        <v>393</v>
      </c>
      <c r="W40" s="43" t="s">
        <v>394</v>
      </c>
    </row>
    <row r="41" spans="1:23" ht="16.5" customHeight="1" x14ac:dyDescent="0.2">
      <c r="A41" s="148">
        <v>16</v>
      </c>
      <c r="B41" s="44">
        <v>7327</v>
      </c>
      <c r="C41" s="45" t="s">
        <v>1663</v>
      </c>
      <c r="D41" s="245" t="s">
        <v>1923</v>
      </c>
      <c r="E41" s="274"/>
      <c r="F41" s="245" t="s">
        <v>1980</v>
      </c>
      <c r="G41" s="274"/>
      <c r="H41" s="47"/>
      <c r="K41" s="64"/>
      <c r="L41" s="49"/>
      <c r="M41" s="50"/>
      <c r="N41" s="47"/>
      <c r="P41" s="133"/>
      <c r="Q41" s="23" t="s">
        <v>408</v>
      </c>
      <c r="S41" s="133"/>
      <c r="T41" s="47"/>
      <c r="V41" s="81">
        <f>_11_A通院２０．５+ROUND((_11_B通院２０．５＿０．５*(1+_11・B夜間)),0)</f>
        <v>220</v>
      </c>
      <c r="W41" s="52" t="s">
        <v>395</v>
      </c>
    </row>
    <row r="42" spans="1:23" ht="16.5" customHeight="1" x14ac:dyDescent="0.2">
      <c r="A42" s="148">
        <v>16</v>
      </c>
      <c r="B42" s="53">
        <v>7328</v>
      </c>
      <c r="C42" s="69" t="s">
        <v>1664</v>
      </c>
      <c r="D42" s="273"/>
      <c r="E42" s="274"/>
      <c r="F42" s="273"/>
      <c r="G42" s="274"/>
      <c r="H42" s="54"/>
      <c r="I42" s="49"/>
      <c r="J42" s="50"/>
      <c r="K42" s="144" t="s">
        <v>396</v>
      </c>
      <c r="L42" s="131" t="s">
        <v>397</v>
      </c>
      <c r="M42" s="57">
        <v>1</v>
      </c>
      <c r="N42" s="47"/>
      <c r="P42" s="133"/>
      <c r="Q42" s="29" t="s">
        <v>397</v>
      </c>
      <c r="R42" s="26">
        <v>0.25</v>
      </c>
      <c r="S42" s="246" t="s">
        <v>400</v>
      </c>
      <c r="T42" s="47"/>
      <c r="V42" s="82">
        <f>ROUND((_11_A通院２０．５*_11・２人),0)+ROUND((ROUND((_11_B通院２０．５＿０．５*_11・２人),0)*(1+_11・B夜間)),0)</f>
        <v>220</v>
      </c>
      <c r="W42" s="59"/>
    </row>
    <row r="43" spans="1:23" ht="16.5" customHeight="1" x14ac:dyDescent="0.2">
      <c r="A43" s="148">
        <v>16</v>
      </c>
      <c r="B43" s="53">
        <v>7329</v>
      </c>
      <c r="C43" s="69" t="s">
        <v>1665</v>
      </c>
      <c r="D43" s="273"/>
      <c r="E43" s="274"/>
      <c r="F43" s="273"/>
      <c r="G43" s="274"/>
      <c r="H43" s="241" t="s">
        <v>398</v>
      </c>
      <c r="I43" s="132" t="s">
        <v>397</v>
      </c>
      <c r="J43" s="61">
        <v>0.9</v>
      </c>
      <c r="K43" s="145"/>
      <c r="L43" s="56"/>
      <c r="M43" s="57"/>
      <c r="N43" s="47"/>
      <c r="P43" s="133"/>
      <c r="S43" s="274"/>
      <c r="T43" s="47"/>
      <c r="V43" s="82">
        <f>ROUND((_11_A通院２０．５*_11・基礎２),0)+ROUND((ROUND((_11_B通院２０．５＿０．５*_11・基礎２),0)*(1+_11・B夜間)),0)</f>
        <v>198</v>
      </c>
      <c r="W43" s="59"/>
    </row>
    <row r="44" spans="1:23" ht="16.5" customHeight="1" x14ac:dyDescent="0.2">
      <c r="A44" s="148">
        <v>16</v>
      </c>
      <c r="B44" s="53">
        <v>7330</v>
      </c>
      <c r="C44" s="69" t="s">
        <v>1666</v>
      </c>
      <c r="D44" s="142">
        <f>_11_A通院２０．５</f>
        <v>106</v>
      </c>
      <c r="E44" s="137" t="s">
        <v>394</v>
      </c>
      <c r="F44" s="142">
        <f>_11_B通院２０．５＿０．５</f>
        <v>91</v>
      </c>
      <c r="G44" s="137" t="s">
        <v>394</v>
      </c>
      <c r="H44" s="242"/>
      <c r="I44" s="49"/>
      <c r="J44" s="50"/>
      <c r="K44" s="144" t="s">
        <v>396</v>
      </c>
      <c r="L44" s="131" t="s">
        <v>397</v>
      </c>
      <c r="M44" s="57">
        <v>1</v>
      </c>
      <c r="N44" s="47"/>
      <c r="P44" s="133"/>
      <c r="S44" s="133"/>
      <c r="T44" s="47"/>
      <c r="V44" s="82">
        <f>ROUND((ROUND((_11_A通院２０．５*_11・基礎２),0)*_11・２人),0)+ROUND((ROUND((ROUND((_11_B通院２０．５＿０．５*_11・基礎２),0)*_11・２人),0)*(1+_11・B夜間)),0)</f>
        <v>198</v>
      </c>
      <c r="W44" s="59"/>
    </row>
    <row r="45" spans="1:23" ht="16.5" customHeight="1" x14ac:dyDescent="0.2">
      <c r="A45" s="148">
        <v>16</v>
      </c>
      <c r="B45" s="53">
        <v>7331</v>
      </c>
      <c r="C45" s="69" t="s">
        <v>1667</v>
      </c>
      <c r="D45" s="67"/>
      <c r="F45" s="243" t="s">
        <v>1981</v>
      </c>
      <c r="G45" s="272"/>
      <c r="H45" s="62"/>
      <c r="I45" s="60"/>
      <c r="J45" s="61"/>
      <c r="K45" s="145"/>
      <c r="L45" s="56"/>
      <c r="M45" s="57"/>
      <c r="N45" s="47"/>
      <c r="P45" s="133"/>
      <c r="T45" s="62"/>
      <c r="U45" s="61"/>
      <c r="V45" s="82">
        <f>_11_A通院２０．５+ROUND((_11_B通院２０．５＿１．０*(1+_11・B夜間)),0)</f>
        <v>317</v>
      </c>
      <c r="W45" s="59"/>
    </row>
    <row r="46" spans="1:23" ht="16.5" customHeight="1" x14ac:dyDescent="0.2">
      <c r="A46" s="148">
        <v>16</v>
      </c>
      <c r="B46" s="53">
        <v>7332</v>
      </c>
      <c r="C46" s="69" t="s">
        <v>1668</v>
      </c>
      <c r="D46" s="67"/>
      <c r="F46" s="273"/>
      <c r="G46" s="274"/>
      <c r="H46" s="54"/>
      <c r="I46" s="49"/>
      <c r="J46" s="50"/>
      <c r="K46" s="144" t="s">
        <v>396</v>
      </c>
      <c r="L46" s="131" t="s">
        <v>397</v>
      </c>
      <c r="M46" s="57">
        <v>1</v>
      </c>
      <c r="N46" s="47"/>
      <c r="P46" s="133"/>
      <c r="T46" s="47"/>
      <c r="V46" s="82">
        <f>ROUND((_11_A通院２０．５*_11・２人),0)+ROUND((ROUND((_11_B通院２０．５＿１．０*_11・２人),0)*(1+_11・B夜間)),0)</f>
        <v>317</v>
      </c>
      <c r="W46" s="59"/>
    </row>
    <row r="47" spans="1:23" ht="16.5" customHeight="1" x14ac:dyDescent="0.2">
      <c r="A47" s="148">
        <v>16</v>
      </c>
      <c r="B47" s="53">
        <v>7333</v>
      </c>
      <c r="C47" s="69" t="s">
        <v>1669</v>
      </c>
      <c r="D47" s="67"/>
      <c r="F47" s="273"/>
      <c r="G47" s="274"/>
      <c r="H47" s="275" t="s">
        <v>398</v>
      </c>
      <c r="I47" s="132" t="s">
        <v>397</v>
      </c>
      <c r="J47" s="61">
        <v>0.9</v>
      </c>
      <c r="K47" s="145"/>
      <c r="L47" s="56"/>
      <c r="M47" s="57"/>
      <c r="N47" s="47"/>
      <c r="P47" s="133"/>
      <c r="T47" s="47"/>
      <c r="V47" s="82">
        <f>ROUND((_11_A通院２０．５*_11・基礎２),0)+ROUND((ROUND((_11_B通院２０．５＿１．０*_11・基礎２),0)*(1+_11・B夜間)),0)</f>
        <v>285</v>
      </c>
      <c r="W47" s="59"/>
    </row>
    <row r="48" spans="1:23" ht="16.5" customHeight="1" x14ac:dyDescent="0.2">
      <c r="A48" s="148">
        <v>16</v>
      </c>
      <c r="B48" s="53">
        <v>7334</v>
      </c>
      <c r="C48" s="69" t="s">
        <v>1670</v>
      </c>
      <c r="D48" s="67"/>
      <c r="F48" s="142">
        <f>_11_B通院２０．５＿１．０</f>
        <v>169</v>
      </c>
      <c r="G48" s="137" t="s">
        <v>394</v>
      </c>
      <c r="H48" s="242"/>
      <c r="I48" s="49"/>
      <c r="J48" s="50"/>
      <c r="K48" s="144" t="s">
        <v>396</v>
      </c>
      <c r="L48" s="131" t="s">
        <v>397</v>
      </c>
      <c r="M48" s="57">
        <v>1</v>
      </c>
      <c r="N48" s="47"/>
      <c r="P48" s="133"/>
      <c r="T48" s="54"/>
      <c r="U48" s="50"/>
      <c r="V48" s="82">
        <f>ROUND((ROUND((_11_A通院２０．５*_11・基礎２),0)*_11・２人),0)+ROUND((ROUND((ROUND((_11_B通院２０．５＿１．０*_11・基礎２),0)*_11・２人),0)*(1+_11・B夜間)),0)</f>
        <v>285</v>
      </c>
      <c r="W48" s="59"/>
    </row>
    <row r="49" spans="1:23" ht="16.5" customHeight="1" x14ac:dyDescent="0.2">
      <c r="A49" s="148">
        <v>16</v>
      </c>
      <c r="B49" s="53">
        <v>7335</v>
      </c>
      <c r="C49" s="69" t="s">
        <v>1671</v>
      </c>
      <c r="D49" s="243" t="s">
        <v>1922</v>
      </c>
      <c r="E49" s="272"/>
      <c r="F49" s="243" t="s">
        <v>1980</v>
      </c>
      <c r="G49" s="272"/>
      <c r="H49" s="62"/>
      <c r="I49" s="60"/>
      <c r="J49" s="61"/>
      <c r="K49" s="145"/>
      <c r="L49" s="56"/>
      <c r="M49" s="57"/>
      <c r="N49" s="47"/>
      <c r="O49" s="175"/>
      <c r="P49" s="133"/>
      <c r="Q49" s="175"/>
      <c r="R49" s="175"/>
      <c r="S49" s="176"/>
      <c r="T49" s="62"/>
      <c r="U49" s="61"/>
      <c r="V49" s="82">
        <f>_11_A通院２１．０+ROUND((_11_B通院２１．０＿０．５*(1+_11・B夜間)),0)</f>
        <v>295</v>
      </c>
      <c r="W49" s="59"/>
    </row>
    <row r="50" spans="1:23" ht="16.5" customHeight="1" x14ac:dyDescent="0.2">
      <c r="A50" s="148">
        <v>16</v>
      </c>
      <c r="B50" s="53">
        <v>7336</v>
      </c>
      <c r="C50" s="69" t="s">
        <v>1672</v>
      </c>
      <c r="D50" s="273"/>
      <c r="E50" s="274"/>
      <c r="F50" s="273"/>
      <c r="G50" s="274"/>
      <c r="H50" s="54"/>
      <c r="I50" s="49"/>
      <c r="J50" s="50"/>
      <c r="K50" s="144" t="s">
        <v>396</v>
      </c>
      <c r="L50" s="131" t="s">
        <v>397</v>
      </c>
      <c r="M50" s="57">
        <v>1</v>
      </c>
      <c r="N50" s="47"/>
      <c r="O50" s="175"/>
      <c r="P50" s="133"/>
      <c r="Q50" s="175"/>
      <c r="R50" s="175"/>
      <c r="S50" s="176"/>
      <c r="T50" s="47"/>
      <c r="U50" s="176"/>
      <c r="V50" s="82">
        <f>ROUND((_11_A通院２１．０*_11・２人),0)+ROUND((ROUND((_11_B通院２１．０＿０．５*_11・２人),0)*(1+_11・B夜間)),0)</f>
        <v>295</v>
      </c>
      <c r="W50" s="59"/>
    </row>
    <row r="51" spans="1:23" ht="16.5" customHeight="1" x14ac:dyDescent="0.2">
      <c r="A51" s="148">
        <v>16</v>
      </c>
      <c r="B51" s="53">
        <v>7337</v>
      </c>
      <c r="C51" s="69" t="s">
        <v>1673</v>
      </c>
      <c r="D51" s="273"/>
      <c r="E51" s="274"/>
      <c r="F51" s="273"/>
      <c r="G51" s="274"/>
      <c r="H51" s="275" t="s">
        <v>398</v>
      </c>
      <c r="I51" s="132" t="s">
        <v>397</v>
      </c>
      <c r="J51" s="61">
        <v>0.9</v>
      </c>
      <c r="K51" s="145"/>
      <c r="L51" s="56"/>
      <c r="M51" s="57"/>
      <c r="N51" s="47"/>
      <c r="O51" s="175"/>
      <c r="P51" s="133"/>
      <c r="Q51" s="175"/>
      <c r="R51" s="175"/>
      <c r="S51" s="176"/>
      <c r="T51" s="47"/>
      <c r="U51" s="176"/>
      <c r="V51" s="82">
        <f>ROUND((_11_A通院２１．０*_11・基礎２),0)+ROUND((ROUND((_11_B通院２１．０＿０．５*_11・基礎２),0)*(1+_11・B夜間)),0)</f>
        <v>265</v>
      </c>
      <c r="W51" s="59"/>
    </row>
    <row r="52" spans="1:23" ht="16.5" customHeight="1" x14ac:dyDescent="0.2">
      <c r="A52" s="148">
        <v>16</v>
      </c>
      <c r="B52" s="53">
        <v>7338</v>
      </c>
      <c r="C52" s="69" t="s">
        <v>1674</v>
      </c>
      <c r="D52" s="143">
        <f>_11_A通院２１．０</f>
        <v>197</v>
      </c>
      <c r="E52" s="141" t="s">
        <v>394</v>
      </c>
      <c r="F52" s="143">
        <f>_11_B通院２１．０＿０．５</f>
        <v>78</v>
      </c>
      <c r="G52" s="141" t="s">
        <v>394</v>
      </c>
      <c r="H52" s="242"/>
      <c r="I52" s="49"/>
      <c r="J52" s="50"/>
      <c r="K52" s="144" t="s">
        <v>396</v>
      </c>
      <c r="L52" s="131" t="s">
        <v>397</v>
      </c>
      <c r="M52" s="57">
        <v>1</v>
      </c>
      <c r="N52" s="54"/>
      <c r="O52" s="49"/>
      <c r="P52" s="135"/>
      <c r="Q52" s="49"/>
      <c r="R52" s="49"/>
      <c r="S52" s="50"/>
      <c r="T52" s="54"/>
      <c r="U52" s="50"/>
      <c r="V52" s="82">
        <f>ROUND((ROUND((_11_A通院２１．０*_11・基礎２),0)*_11・２人),0)+ROUND((ROUND((ROUND((_11_B通院２１．０＿０．５*_11・基礎２),0)*_11・２人),0)*(1+_11・B夜間)),0)</f>
        <v>265</v>
      </c>
      <c r="W52" s="111"/>
    </row>
    <row r="53" spans="1:23" ht="16.5" customHeight="1" x14ac:dyDescent="0.2"/>
    <row r="54" spans="1:23" ht="16.5" customHeight="1" x14ac:dyDescent="0.2"/>
  </sheetData>
  <mergeCells count="28">
    <mergeCell ref="D7:E9"/>
    <mergeCell ref="F7:G9"/>
    <mergeCell ref="P8:P9"/>
    <mergeCell ref="S8:S9"/>
    <mergeCell ref="H9:H10"/>
    <mergeCell ref="D24:E26"/>
    <mergeCell ref="F24:G26"/>
    <mergeCell ref="P25:P26"/>
    <mergeCell ref="H26:H27"/>
    <mergeCell ref="F11:G13"/>
    <mergeCell ref="H13:H14"/>
    <mergeCell ref="D15:E17"/>
    <mergeCell ref="F15:G17"/>
    <mergeCell ref="H17:H18"/>
    <mergeCell ref="D41:E43"/>
    <mergeCell ref="F41:G43"/>
    <mergeCell ref="S42:S43"/>
    <mergeCell ref="H43:H44"/>
    <mergeCell ref="F28:G30"/>
    <mergeCell ref="H30:H31"/>
    <mergeCell ref="D32:E34"/>
    <mergeCell ref="F32:G34"/>
    <mergeCell ref="H34:H35"/>
    <mergeCell ref="D49:E51"/>
    <mergeCell ref="F49:G51"/>
    <mergeCell ref="H51:H52"/>
    <mergeCell ref="F45:G47"/>
    <mergeCell ref="H47:H48"/>
  </mergeCells>
  <phoneticPr fontId="1"/>
  <printOptions horizontalCentered="1"/>
  <pageMargins left="0.70866141732283505" right="0.70866141732283505" top="0.74803149606299202" bottom="0.74803149606299202" header="0.31496062992126" footer="0.31496062992126"/>
  <pageSetup paperSize="9" scale="50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37"/>
  <sheetViews>
    <sheetView workbookViewId="0"/>
  </sheetViews>
  <sheetFormatPr defaultColWidth="8.90625" defaultRowHeight="14" x14ac:dyDescent="0.2"/>
  <cols>
    <col min="1" max="1" width="4.6328125" style="22" customWidth="1"/>
    <col min="2" max="2" width="7.6328125" style="22" customWidth="1"/>
    <col min="3" max="3" width="37.453125" style="23" customWidth="1"/>
    <col min="4" max="4" width="2.36328125" style="25" customWidth="1"/>
    <col min="5" max="5" width="4.90625" style="23" customWidth="1"/>
    <col min="6" max="6" width="4.90625" style="25" customWidth="1"/>
    <col min="7" max="7" width="2.36328125" style="25" customWidth="1"/>
    <col min="8" max="8" width="4.90625" style="23" customWidth="1"/>
    <col min="9" max="9" width="4.90625" style="25" customWidth="1"/>
    <col min="10" max="10" width="11.453125" style="25" customWidth="1"/>
    <col min="11" max="11" width="2.453125" style="25" customWidth="1"/>
    <col min="12" max="12" width="4.453125" style="26" bestFit="1" customWidth="1"/>
    <col min="13" max="13" width="26" style="25" customWidth="1"/>
    <col min="14" max="14" width="2.453125" style="25" customWidth="1"/>
    <col min="15" max="15" width="5.453125" style="26" bestFit="1" customWidth="1"/>
    <col min="16" max="16" width="2.453125" style="25" customWidth="1"/>
    <col min="17" max="17" width="3.90625" style="25" customWidth="1"/>
    <col min="18" max="18" width="4.453125" style="26" bestFit="1" customWidth="1"/>
    <col min="19" max="19" width="2.453125" style="25" customWidth="1"/>
    <col min="20" max="20" width="3.90625" style="25" customWidth="1"/>
    <col min="21" max="21" width="4.453125" style="26" bestFit="1" customWidth="1"/>
    <col min="22" max="22" width="9.90625" style="25" customWidth="1"/>
    <col min="23" max="23" width="4.453125" style="26" bestFit="1" customWidth="1"/>
    <col min="24" max="24" width="7.08984375" style="28" customWidth="1"/>
    <col min="25" max="25" width="8.6328125" style="29" customWidth="1"/>
    <col min="26" max="16384" width="8.90625" style="25"/>
  </cols>
  <sheetData>
    <row r="1" spans="1:25" ht="17.149999999999999" customHeight="1" x14ac:dyDescent="0.2"/>
    <row r="2" spans="1:25" ht="17.149999999999999" customHeight="1" x14ac:dyDescent="0.2"/>
    <row r="3" spans="1:25" ht="17.149999999999999" customHeight="1" x14ac:dyDescent="0.2"/>
    <row r="4" spans="1:25" ht="17.149999999999999" customHeight="1" x14ac:dyDescent="0.2">
      <c r="B4" s="30" t="s">
        <v>1675</v>
      </c>
      <c r="E4" s="65"/>
    </row>
    <row r="5" spans="1:25" ht="16.5" customHeight="1" x14ac:dyDescent="0.2">
      <c r="A5" s="31" t="s">
        <v>386</v>
      </c>
      <c r="B5" s="32"/>
      <c r="C5" s="33" t="s">
        <v>387</v>
      </c>
      <c r="D5" s="134" t="s">
        <v>388</v>
      </c>
      <c r="E5" s="34"/>
      <c r="F5" s="34"/>
      <c r="G5" s="34"/>
      <c r="H5" s="34"/>
      <c r="I5" s="34"/>
      <c r="J5" s="34"/>
      <c r="K5" s="34"/>
      <c r="L5" s="35"/>
      <c r="M5" s="34"/>
      <c r="N5" s="34"/>
      <c r="O5" s="35"/>
      <c r="P5" s="34"/>
      <c r="Q5" s="34"/>
      <c r="R5" s="35"/>
      <c r="S5" s="34"/>
      <c r="T5" s="34"/>
      <c r="U5" s="35"/>
      <c r="V5" s="34"/>
      <c r="W5" s="35"/>
      <c r="X5" s="36" t="s">
        <v>389</v>
      </c>
      <c r="Y5" s="33" t="s">
        <v>390</v>
      </c>
    </row>
    <row r="6" spans="1:25" ht="16.5" customHeight="1" x14ac:dyDescent="0.2">
      <c r="A6" s="37" t="s">
        <v>391</v>
      </c>
      <c r="B6" s="37" t="s">
        <v>392</v>
      </c>
      <c r="C6" s="38"/>
      <c r="D6" s="252" t="s">
        <v>403</v>
      </c>
      <c r="E6" s="253"/>
      <c r="F6" s="254"/>
      <c r="G6" s="252" t="s">
        <v>404</v>
      </c>
      <c r="H6" s="253"/>
      <c r="I6" s="254"/>
      <c r="J6" s="40"/>
      <c r="K6" s="40"/>
      <c r="L6" s="41"/>
      <c r="M6" s="40"/>
      <c r="N6" s="40"/>
      <c r="O6" s="41"/>
      <c r="P6" s="40"/>
      <c r="Q6" s="40"/>
      <c r="R6" s="41"/>
      <c r="S6" s="40"/>
      <c r="T6" s="40"/>
      <c r="U6" s="41"/>
      <c r="V6" s="40"/>
      <c r="W6" s="41"/>
      <c r="X6" s="42" t="s">
        <v>393</v>
      </c>
      <c r="Y6" s="43" t="s">
        <v>394</v>
      </c>
    </row>
    <row r="7" spans="1:25" ht="16.5" customHeight="1" x14ac:dyDescent="0.2">
      <c r="A7" s="44">
        <v>16</v>
      </c>
      <c r="B7" s="44">
        <v>7339</v>
      </c>
      <c r="C7" s="45" t="s">
        <v>1677</v>
      </c>
      <c r="D7" s="285" t="s">
        <v>1948</v>
      </c>
      <c r="E7" s="256"/>
      <c r="F7" s="246"/>
      <c r="G7" s="245" t="s">
        <v>1986</v>
      </c>
      <c r="H7" s="256"/>
      <c r="I7" s="246"/>
      <c r="J7" s="47"/>
      <c r="M7" s="54"/>
      <c r="N7" s="49"/>
      <c r="O7" s="50"/>
      <c r="P7" s="67" t="s">
        <v>408</v>
      </c>
      <c r="Q7" s="65"/>
      <c r="R7" s="133"/>
      <c r="S7" s="67" t="s">
        <v>409</v>
      </c>
      <c r="U7" s="133"/>
      <c r="V7" s="47"/>
      <c r="X7" s="51">
        <f>ROUND((_11_A通院２０．５*(1+_11・A夜間)),0)+ROUND((_11_B通院２０．５＿０．５*(1+_11・B深夜)),0)</f>
        <v>270</v>
      </c>
      <c r="Y7" s="52" t="s">
        <v>395</v>
      </c>
    </row>
    <row r="8" spans="1:25" ht="16.5" customHeight="1" x14ac:dyDescent="0.2">
      <c r="A8" s="44">
        <v>16</v>
      </c>
      <c r="B8" s="53">
        <v>7340</v>
      </c>
      <c r="C8" s="69" t="s">
        <v>1678</v>
      </c>
      <c r="D8" s="285"/>
      <c r="E8" s="256"/>
      <c r="F8" s="246"/>
      <c r="G8" s="245"/>
      <c r="H8" s="256"/>
      <c r="I8" s="246"/>
      <c r="J8" s="54"/>
      <c r="K8" s="49"/>
      <c r="L8" s="50"/>
      <c r="M8" s="144" t="s">
        <v>396</v>
      </c>
      <c r="N8" s="131" t="s">
        <v>397</v>
      </c>
      <c r="O8" s="57">
        <v>1</v>
      </c>
      <c r="P8" s="139" t="s">
        <v>397</v>
      </c>
      <c r="Q8" s="26">
        <v>0.25</v>
      </c>
      <c r="R8" s="246" t="s">
        <v>400</v>
      </c>
      <c r="S8" s="139" t="s">
        <v>397</v>
      </c>
      <c r="T8" s="26">
        <v>0.5</v>
      </c>
      <c r="U8" s="246" t="s">
        <v>400</v>
      </c>
      <c r="V8" s="47"/>
      <c r="X8" s="58">
        <f>ROUND((ROUND((_11_A通院２０．５*_11・２人),0)*(1+_11・A夜間)),0)+ROUND((ROUND((_11_B通院２０．５＿０．５*_11・２人),0)*(1+_11・B深夜)),0)</f>
        <v>270</v>
      </c>
      <c r="Y8" s="59"/>
    </row>
    <row r="9" spans="1:25" ht="16.5" customHeight="1" x14ac:dyDescent="0.2">
      <c r="A9" s="44">
        <v>16</v>
      </c>
      <c r="B9" s="53">
        <v>7341</v>
      </c>
      <c r="C9" s="69" t="s">
        <v>1679</v>
      </c>
      <c r="D9" s="285"/>
      <c r="E9" s="256"/>
      <c r="F9" s="246"/>
      <c r="G9" s="245"/>
      <c r="H9" s="256"/>
      <c r="I9" s="246"/>
      <c r="J9" s="241" t="s">
        <v>398</v>
      </c>
      <c r="K9" s="132" t="s">
        <v>397</v>
      </c>
      <c r="L9" s="136">
        <v>0.9</v>
      </c>
      <c r="M9" s="109"/>
      <c r="N9" s="56"/>
      <c r="O9" s="57"/>
      <c r="P9" s="47"/>
      <c r="R9" s="274"/>
      <c r="S9" s="47"/>
      <c r="U9" s="274"/>
      <c r="V9" s="47"/>
      <c r="X9" s="58">
        <f>ROUND((ROUND((_11_A通院２０．５*_11・基礎２),0)*(1+_11・A夜間)),0)+ROUND((ROUND((_11_B通院２０．５＿０．５*_11・基礎２),0)*(1+_11・B深夜)),0)</f>
        <v>242</v>
      </c>
      <c r="Y9" s="59"/>
    </row>
    <row r="10" spans="1:25" ht="16.5" customHeight="1" x14ac:dyDescent="0.2">
      <c r="A10" s="44">
        <v>16</v>
      </c>
      <c r="B10" s="53">
        <v>7342</v>
      </c>
      <c r="C10" s="69" t="s">
        <v>1680</v>
      </c>
      <c r="D10" s="67"/>
      <c r="E10" s="150">
        <f>_11_A通院２０．５</f>
        <v>106</v>
      </c>
      <c r="F10" s="23" t="s">
        <v>394</v>
      </c>
      <c r="G10" s="67"/>
      <c r="H10" s="150">
        <f>_11_B通院２０．５＿０．５</f>
        <v>91</v>
      </c>
      <c r="I10" s="23" t="s">
        <v>394</v>
      </c>
      <c r="J10" s="242"/>
      <c r="K10" s="49"/>
      <c r="L10" s="135"/>
      <c r="M10" s="144" t="s">
        <v>396</v>
      </c>
      <c r="N10" s="131" t="s">
        <v>397</v>
      </c>
      <c r="O10" s="57">
        <v>1</v>
      </c>
      <c r="P10" s="47"/>
      <c r="S10" s="47"/>
      <c r="V10" s="47"/>
      <c r="X10" s="58">
        <f>ROUND((ROUND((ROUND((_11_A通院２０．５*_11・基礎２),0)*_11・２人),0)*(1+_11・A夜間)),0)+ROUND((ROUND((ROUND((_11_B通院２０．５＿０．５*_11・基礎２),0)*_11・２人),0)*(1+_11・B深夜)),0)</f>
        <v>242</v>
      </c>
      <c r="Y10" s="59"/>
    </row>
    <row r="11" spans="1:25" ht="16.5" customHeight="1" x14ac:dyDescent="0.2">
      <c r="A11" s="44">
        <v>16</v>
      </c>
      <c r="B11" s="53">
        <v>7343</v>
      </c>
      <c r="C11" s="69" t="s">
        <v>1681</v>
      </c>
      <c r="D11" s="47"/>
      <c r="G11" s="284" t="s">
        <v>1987</v>
      </c>
      <c r="H11" s="255"/>
      <c r="I11" s="244"/>
      <c r="J11" s="62"/>
      <c r="K11" s="60"/>
      <c r="L11" s="61"/>
      <c r="M11" s="109"/>
      <c r="N11" s="56"/>
      <c r="O11" s="57"/>
      <c r="P11" s="47"/>
      <c r="S11" s="47"/>
      <c r="V11" s="62"/>
      <c r="W11" s="61"/>
      <c r="X11" s="58">
        <f>ROUND((_11_A通院２０．５*(1+_11・A夜間)),0)+ROUND((_11_B通院２０．５＿１．０*(1+_11・B深夜)),0)</f>
        <v>387</v>
      </c>
      <c r="Y11" s="59"/>
    </row>
    <row r="12" spans="1:25" ht="16.5" customHeight="1" x14ac:dyDescent="0.2">
      <c r="A12" s="44">
        <v>16</v>
      </c>
      <c r="B12" s="53">
        <v>7344</v>
      </c>
      <c r="C12" s="69" t="s">
        <v>1682</v>
      </c>
      <c r="D12" s="47"/>
      <c r="G12" s="285"/>
      <c r="H12" s="256"/>
      <c r="I12" s="246"/>
      <c r="J12" s="54"/>
      <c r="K12" s="49"/>
      <c r="L12" s="50"/>
      <c r="M12" s="144" t="s">
        <v>396</v>
      </c>
      <c r="N12" s="131" t="s">
        <v>397</v>
      </c>
      <c r="O12" s="57">
        <v>1</v>
      </c>
      <c r="P12" s="47"/>
      <c r="S12" s="47"/>
      <c r="V12" s="47"/>
      <c r="X12" s="58">
        <f>ROUND((ROUND((_11_A通院２０．５*_11・２人),0)*(1+_11・A夜間)),0)+ROUND((ROUND((_11_B通院２０．５＿１．０*_11・２人),0)*(1+_11・B深夜)),0)</f>
        <v>387</v>
      </c>
      <c r="Y12" s="59"/>
    </row>
    <row r="13" spans="1:25" ht="16.5" customHeight="1" x14ac:dyDescent="0.2">
      <c r="A13" s="44">
        <v>16</v>
      </c>
      <c r="B13" s="53">
        <v>7345</v>
      </c>
      <c r="C13" s="69" t="s">
        <v>1683</v>
      </c>
      <c r="D13" s="47"/>
      <c r="G13" s="285"/>
      <c r="H13" s="256"/>
      <c r="I13" s="246"/>
      <c r="J13" s="275" t="s">
        <v>398</v>
      </c>
      <c r="K13" s="132" t="s">
        <v>397</v>
      </c>
      <c r="L13" s="136">
        <v>0.9</v>
      </c>
      <c r="M13" s="109"/>
      <c r="N13" s="56"/>
      <c r="O13" s="57"/>
      <c r="P13" s="47"/>
      <c r="S13" s="47"/>
      <c r="V13" s="47"/>
      <c r="X13" s="58">
        <f>ROUND((ROUND((_11_A通院２０．５*_11・基礎２),0)*(1+_11・A夜間)),0)+ROUND((ROUND((_11_B通院２０．５＿１．０*_11・基礎２),0)*(1+_11・B深夜)),0)</f>
        <v>347</v>
      </c>
      <c r="Y13" s="59"/>
    </row>
    <row r="14" spans="1:25" ht="16.5" customHeight="1" x14ac:dyDescent="0.2">
      <c r="A14" s="44">
        <v>16</v>
      </c>
      <c r="B14" s="53">
        <v>7346</v>
      </c>
      <c r="C14" s="69" t="s">
        <v>1684</v>
      </c>
      <c r="D14" s="47"/>
      <c r="G14" s="47"/>
      <c r="H14" s="150">
        <f>_11_B通院２０．５＿１．０</f>
        <v>169</v>
      </c>
      <c r="I14" s="137" t="s">
        <v>394</v>
      </c>
      <c r="J14" s="242"/>
      <c r="K14" s="49"/>
      <c r="L14" s="135"/>
      <c r="M14" s="144" t="s">
        <v>396</v>
      </c>
      <c r="N14" s="131" t="s">
        <v>397</v>
      </c>
      <c r="O14" s="57">
        <v>1</v>
      </c>
      <c r="P14" s="47"/>
      <c r="S14" s="47"/>
      <c r="V14" s="47"/>
      <c r="X14" s="58">
        <f>ROUND((ROUND((ROUND((_11_A通院２０．５*_11・基礎２),0)*_11・２人),0)*(1+_11・A夜間)),0)+ROUND((ROUND((ROUND((_11_B通院２０．５＿１．０*_11・基礎２),0)*_11・２人),0)*(1+_11・B深夜)),0)</f>
        <v>347</v>
      </c>
      <c r="Y14" s="59"/>
    </row>
    <row r="15" spans="1:25" ht="16.5" customHeight="1" x14ac:dyDescent="0.2">
      <c r="A15" s="44">
        <v>16</v>
      </c>
      <c r="B15" s="53">
        <v>7347</v>
      </c>
      <c r="C15" s="69" t="s">
        <v>1685</v>
      </c>
      <c r="D15" s="243" t="s">
        <v>1949</v>
      </c>
      <c r="E15" s="255"/>
      <c r="F15" s="244"/>
      <c r="G15" s="243" t="s">
        <v>1986</v>
      </c>
      <c r="H15" s="255"/>
      <c r="I15" s="244"/>
      <c r="J15" s="62"/>
      <c r="K15" s="60"/>
      <c r="L15" s="61"/>
      <c r="M15" s="109"/>
      <c r="N15" s="56"/>
      <c r="O15" s="57"/>
      <c r="P15" s="47"/>
      <c r="Q15" s="175"/>
      <c r="R15" s="176"/>
      <c r="S15" s="47"/>
      <c r="T15" s="175"/>
      <c r="U15" s="176"/>
      <c r="V15" s="62"/>
      <c r="W15" s="61"/>
      <c r="X15" s="58">
        <f>ROUND((_11_A通院２１．０*(1+_11・A夜間)),0)+ROUND((_11_B通院２１．０＿０．５*(1+_11・B深夜)),0)</f>
        <v>363</v>
      </c>
      <c r="Y15" s="59"/>
    </row>
    <row r="16" spans="1:25" ht="16.5" customHeight="1" x14ac:dyDescent="0.2">
      <c r="A16" s="44">
        <v>16</v>
      </c>
      <c r="B16" s="53">
        <v>7348</v>
      </c>
      <c r="C16" s="69" t="s">
        <v>1686</v>
      </c>
      <c r="D16" s="245"/>
      <c r="E16" s="278"/>
      <c r="F16" s="246"/>
      <c r="G16" s="245"/>
      <c r="H16" s="278"/>
      <c r="I16" s="246"/>
      <c r="J16" s="54"/>
      <c r="K16" s="49"/>
      <c r="L16" s="50"/>
      <c r="M16" s="144" t="s">
        <v>396</v>
      </c>
      <c r="N16" s="131" t="s">
        <v>397</v>
      </c>
      <c r="O16" s="57">
        <v>1</v>
      </c>
      <c r="P16" s="47"/>
      <c r="Q16" s="175"/>
      <c r="R16" s="176"/>
      <c r="S16" s="47"/>
      <c r="T16" s="175"/>
      <c r="U16" s="176"/>
      <c r="V16" s="47"/>
      <c r="W16" s="176"/>
      <c r="X16" s="58">
        <f>ROUND((ROUND((_11_A通院２１．０*_11・２人),0)*(1+_11・A夜間)),0)+ROUND((ROUND((_11_B通院２１．０＿０．５*_11・２人),0)*(1+_11・B深夜)),0)</f>
        <v>363</v>
      </c>
      <c r="Y16" s="59"/>
    </row>
    <row r="17" spans="1:25" ht="16.5" customHeight="1" x14ac:dyDescent="0.2">
      <c r="A17" s="44">
        <v>16</v>
      </c>
      <c r="B17" s="53">
        <v>7349</v>
      </c>
      <c r="C17" s="69" t="s">
        <v>1687</v>
      </c>
      <c r="D17" s="245"/>
      <c r="E17" s="278"/>
      <c r="F17" s="246"/>
      <c r="G17" s="245"/>
      <c r="H17" s="278"/>
      <c r="I17" s="246"/>
      <c r="J17" s="275" t="s">
        <v>398</v>
      </c>
      <c r="K17" s="132" t="s">
        <v>397</v>
      </c>
      <c r="L17" s="136">
        <v>0.9</v>
      </c>
      <c r="M17" s="109"/>
      <c r="N17" s="56"/>
      <c r="O17" s="57"/>
      <c r="P17" s="47"/>
      <c r="Q17" s="175"/>
      <c r="R17" s="176"/>
      <c r="S17" s="47"/>
      <c r="T17" s="175"/>
      <c r="U17" s="176"/>
      <c r="V17" s="47"/>
      <c r="W17" s="176"/>
      <c r="X17" s="58">
        <f>ROUND((ROUND((_11_A通院２１．０*_11・基礎２),0)*(1+_11・A夜間)),0)+ROUND((ROUND((_11_B通院２１．０＿０．５*_11・基礎２),0)*(1+_11・B深夜)),0)</f>
        <v>326</v>
      </c>
      <c r="Y17" s="59"/>
    </row>
    <row r="18" spans="1:25" ht="16.5" customHeight="1" x14ac:dyDescent="0.2">
      <c r="A18" s="44">
        <v>16</v>
      </c>
      <c r="B18" s="53">
        <v>7350</v>
      </c>
      <c r="C18" s="69" t="s">
        <v>1688</v>
      </c>
      <c r="D18" s="178"/>
      <c r="E18" s="179">
        <f>_11_A通院２１．０</f>
        <v>197</v>
      </c>
      <c r="F18" s="141" t="s">
        <v>394</v>
      </c>
      <c r="G18" s="178"/>
      <c r="H18" s="179">
        <f>_11_B通院２１．０＿０．５</f>
        <v>78</v>
      </c>
      <c r="I18" s="141" t="s">
        <v>394</v>
      </c>
      <c r="J18" s="242"/>
      <c r="K18" s="49"/>
      <c r="L18" s="135"/>
      <c r="M18" s="144" t="s">
        <v>396</v>
      </c>
      <c r="N18" s="131" t="s">
        <v>397</v>
      </c>
      <c r="O18" s="57">
        <v>1</v>
      </c>
      <c r="P18" s="54"/>
      <c r="Q18" s="49"/>
      <c r="R18" s="50"/>
      <c r="S18" s="54"/>
      <c r="T18" s="49"/>
      <c r="U18" s="50"/>
      <c r="V18" s="54"/>
      <c r="W18" s="50"/>
      <c r="X18" s="58">
        <f>ROUND((ROUND((ROUND((_11_A通院２１．０*_11・基礎２),0)*_11・２人),0)*(1+_11・A夜間)),0)+ROUND((ROUND((ROUND((_11_B通院２１．０＿０．５*_11・基礎２),0)*_11・２人),0)*(1+_11・B深夜)),0)</f>
        <v>326</v>
      </c>
      <c r="Y18" s="111"/>
    </row>
    <row r="19" spans="1:25" ht="16.5" customHeight="1" x14ac:dyDescent="0.2">
      <c r="A19" s="71"/>
      <c r="B19" s="71"/>
      <c r="C19" s="72"/>
      <c r="M19" s="73"/>
      <c r="X19" s="74"/>
      <c r="Y19" s="75"/>
    </row>
    <row r="20" spans="1:25" ht="16.5" customHeight="1" x14ac:dyDescent="0.2">
      <c r="A20" s="71"/>
      <c r="B20" s="71"/>
      <c r="C20" s="72"/>
      <c r="M20" s="73"/>
      <c r="X20" s="74"/>
      <c r="Y20" s="75"/>
    </row>
    <row r="21" spans="1:25" ht="16.5" customHeight="1" x14ac:dyDescent="0.2">
      <c r="A21" s="71"/>
      <c r="B21" s="76" t="s">
        <v>1676</v>
      </c>
      <c r="C21" s="72"/>
      <c r="E21" s="65"/>
      <c r="M21" s="73"/>
      <c r="X21" s="74"/>
      <c r="Y21" s="75"/>
    </row>
    <row r="22" spans="1:25" ht="16.5" customHeight="1" x14ac:dyDescent="0.2">
      <c r="A22" s="77" t="s">
        <v>386</v>
      </c>
      <c r="B22" s="32"/>
      <c r="C22" s="78" t="s">
        <v>387</v>
      </c>
      <c r="D22" s="134"/>
      <c r="E22" s="34" t="s">
        <v>388</v>
      </c>
      <c r="F22" s="34"/>
      <c r="G22" s="34"/>
      <c r="H22" s="34"/>
      <c r="I22" s="34"/>
      <c r="J22" s="34"/>
      <c r="K22" s="34"/>
      <c r="L22" s="35"/>
      <c r="M22" s="146"/>
      <c r="N22" s="34"/>
      <c r="O22" s="35"/>
      <c r="P22" s="34"/>
      <c r="Q22" s="34"/>
      <c r="R22" s="35"/>
      <c r="S22" s="34"/>
      <c r="T22" s="34"/>
      <c r="U22" s="35"/>
      <c r="V22" s="34"/>
      <c r="W22" s="35"/>
      <c r="X22" s="36" t="s">
        <v>389</v>
      </c>
      <c r="Y22" s="33" t="s">
        <v>390</v>
      </c>
    </row>
    <row r="23" spans="1:25" ht="16.5" customHeight="1" x14ac:dyDescent="0.2">
      <c r="A23" s="37" t="s">
        <v>391</v>
      </c>
      <c r="B23" s="37" t="s">
        <v>392</v>
      </c>
      <c r="C23" s="79"/>
      <c r="D23" s="108"/>
      <c r="E23" s="40"/>
      <c r="F23" s="40"/>
      <c r="G23" s="151"/>
      <c r="H23" s="113" t="s">
        <v>403</v>
      </c>
      <c r="I23" s="32"/>
      <c r="J23" s="40"/>
      <c r="K23" s="40"/>
      <c r="L23" s="41"/>
      <c r="M23" s="147"/>
      <c r="N23" s="40"/>
      <c r="O23" s="41"/>
      <c r="P23" s="40"/>
      <c r="Q23" s="40"/>
      <c r="R23" s="41"/>
      <c r="S23" s="40"/>
      <c r="T23" s="40"/>
      <c r="U23" s="41"/>
      <c r="V23" s="40"/>
      <c r="W23" s="41"/>
      <c r="X23" s="42" t="s">
        <v>393</v>
      </c>
      <c r="Y23" s="43" t="s">
        <v>394</v>
      </c>
    </row>
    <row r="24" spans="1:25" ht="16.5" customHeight="1" x14ac:dyDescent="0.2">
      <c r="A24" s="149">
        <v>16</v>
      </c>
      <c r="B24" s="53">
        <v>7351</v>
      </c>
      <c r="C24" s="69" t="s">
        <v>1689</v>
      </c>
      <c r="D24" s="279" t="s">
        <v>414</v>
      </c>
      <c r="E24" s="243" t="s">
        <v>1957</v>
      </c>
      <c r="F24" s="282"/>
      <c r="G24" s="279" t="s">
        <v>413</v>
      </c>
      <c r="H24" s="243" t="s">
        <v>1986</v>
      </c>
      <c r="I24" s="272"/>
      <c r="J24" s="62"/>
      <c r="K24" s="60"/>
      <c r="L24" s="61"/>
      <c r="M24" s="145"/>
      <c r="N24" s="56"/>
      <c r="O24" s="57"/>
      <c r="P24" s="62"/>
      <c r="Q24" s="60"/>
      <c r="R24" s="61"/>
      <c r="S24" s="87" t="s">
        <v>405</v>
      </c>
      <c r="T24" s="60"/>
      <c r="U24" s="136"/>
      <c r="V24" s="62"/>
      <c r="W24" s="61"/>
      <c r="X24" s="58">
        <f>+ROUND((_11_B通院２０．５＿０．５*(1+_11・B深夜)),0)</f>
        <v>137</v>
      </c>
      <c r="Y24" s="101" t="s">
        <v>395</v>
      </c>
    </row>
    <row r="25" spans="1:25" ht="16.5" customHeight="1" x14ac:dyDescent="0.2">
      <c r="A25" s="149">
        <v>16</v>
      </c>
      <c r="B25" s="53">
        <v>7352</v>
      </c>
      <c r="C25" s="69" t="s">
        <v>1690</v>
      </c>
      <c r="D25" s="280"/>
      <c r="E25" s="273"/>
      <c r="F25" s="283"/>
      <c r="G25" s="280"/>
      <c r="H25" s="273"/>
      <c r="I25" s="274"/>
      <c r="J25" s="54"/>
      <c r="K25" s="49"/>
      <c r="L25" s="50"/>
      <c r="M25" s="144" t="s">
        <v>396</v>
      </c>
      <c r="N25" s="131" t="s">
        <v>397</v>
      </c>
      <c r="O25" s="57">
        <v>1</v>
      </c>
      <c r="P25" s="47"/>
      <c r="Q25" s="175"/>
      <c r="R25" s="176"/>
      <c r="S25" s="139" t="s">
        <v>397</v>
      </c>
      <c r="T25" s="176">
        <v>0.5</v>
      </c>
      <c r="U25" s="246" t="s">
        <v>400</v>
      </c>
      <c r="V25" s="47"/>
      <c r="W25" s="176"/>
      <c r="X25" s="58">
        <f>+ROUND((ROUND((_11_B通院２０．５＿０．５*_11・２人),0)*(1+_11・B深夜)),0)</f>
        <v>137</v>
      </c>
      <c r="Y25" s="59"/>
    </row>
    <row r="26" spans="1:25" ht="16.5" customHeight="1" x14ac:dyDescent="0.2">
      <c r="A26" s="149">
        <v>16</v>
      </c>
      <c r="B26" s="53">
        <v>7353</v>
      </c>
      <c r="C26" s="69" t="s">
        <v>1691</v>
      </c>
      <c r="D26" s="280"/>
      <c r="E26" s="273"/>
      <c r="F26" s="283"/>
      <c r="G26" s="280"/>
      <c r="H26" s="273"/>
      <c r="I26" s="274"/>
      <c r="J26" s="241" t="s">
        <v>398</v>
      </c>
      <c r="K26" s="132" t="s">
        <v>397</v>
      </c>
      <c r="L26" s="136">
        <v>0.9</v>
      </c>
      <c r="M26" s="145"/>
      <c r="N26" s="56"/>
      <c r="O26" s="57"/>
      <c r="P26" s="47"/>
      <c r="Q26" s="175"/>
      <c r="R26" s="176"/>
      <c r="S26" s="47"/>
      <c r="T26" s="175"/>
      <c r="U26" s="274"/>
      <c r="V26" s="47"/>
      <c r="W26" s="176"/>
      <c r="X26" s="58">
        <f>+ROUND((ROUND((_11_B通院２０．５＿０．５*_11・基礎２),0)*(1+_11・B深夜)),0)</f>
        <v>123</v>
      </c>
      <c r="Y26" s="59"/>
    </row>
    <row r="27" spans="1:25" ht="16.5" customHeight="1" x14ac:dyDescent="0.2">
      <c r="A27" s="149">
        <v>16</v>
      </c>
      <c r="B27" s="53">
        <v>7354</v>
      </c>
      <c r="C27" s="69" t="s">
        <v>1692</v>
      </c>
      <c r="D27" s="280"/>
      <c r="E27" s="67"/>
      <c r="F27" s="175"/>
      <c r="G27" s="280"/>
      <c r="H27" s="142">
        <f>_11_B通院２０．５＿０．５</f>
        <v>91</v>
      </c>
      <c r="I27" s="180" t="s">
        <v>394</v>
      </c>
      <c r="J27" s="242"/>
      <c r="K27" s="49"/>
      <c r="L27" s="135"/>
      <c r="M27" s="144" t="s">
        <v>396</v>
      </c>
      <c r="N27" s="131" t="s">
        <v>397</v>
      </c>
      <c r="O27" s="57">
        <v>1</v>
      </c>
      <c r="P27" s="47"/>
      <c r="Q27" s="175"/>
      <c r="R27" s="176"/>
      <c r="S27" s="47"/>
      <c r="T27" s="175"/>
      <c r="U27" s="176"/>
      <c r="V27" s="47"/>
      <c r="W27" s="176"/>
      <c r="X27" s="58">
        <f>+ROUND((ROUND((ROUND((_11_B通院２０．５＿０．５*_11・基礎２),0)*_11・２人),0)*(1+_11・B深夜)),0)</f>
        <v>123</v>
      </c>
      <c r="Y27" s="59"/>
    </row>
    <row r="28" spans="1:25" ht="16.5" customHeight="1" x14ac:dyDescent="0.2">
      <c r="A28" s="149">
        <v>16</v>
      </c>
      <c r="B28" s="53">
        <v>7355</v>
      </c>
      <c r="C28" s="69" t="s">
        <v>1693</v>
      </c>
      <c r="D28" s="280"/>
      <c r="E28" s="67"/>
      <c r="F28" s="175"/>
      <c r="G28" s="280"/>
      <c r="H28" s="243" t="s">
        <v>1987</v>
      </c>
      <c r="I28" s="272"/>
      <c r="J28" s="62"/>
      <c r="K28" s="60"/>
      <c r="L28" s="61"/>
      <c r="M28" s="145"/>
      <c r="N28" s="56"/>
      <c r="O28" s="57"/>
      <c r="P28" s="47"/>
      <c r="Q28" s="175"/>
      <c r="R28" s="176"/>
      <c r="S28" s="47"/>
      <c r="T28" s="175"/>
      <c r="U28" s="176"/>
      <c r="V28" s="62"/>
      <c r="W28" s="61"/>
      <c r="X28" s="58">
        <f>+ROUND((_11_B通院２０．５＿１．０*(1+_11・B深夜)),0)</f>
        <v>254</v>
      </c>
      <c r="Y28" s="59"/>
    </row>
    <row r="29" spans="1:25" ht="16.5" customHeight="1" x14ac:dyDescent="0.2">
      <c r="A29" s="149">
        <v>16</v>
      </c>
      <c r="B29" s="53">
        <v>7356</v>
      </c>
      <c r="C29" s="69" t="s">
        <v>1694</v>
      </c>
      <c r="D29" s="280"/>
      <c r="E29" s="67"/>
      <c r="F29" s="175"/>
      <c r="G29" s="280"/>
      <c r="H29" s="273"/>
      <c r="I29" s="274"/>
      <c r="J29" s="54"/>
      <c r="K29" s="49"/>
      <c r="L29" s="50"/>
      <c r="M29" s="144" t="s">
        <v>396</v>
      </c>
      <c r="N29" s="131" t="s">
        <v>397</v>
      </c>
      <c r="O29" s="57">
        <v>1</v>
      </c>
      <c r="P29" s="47"/>
      <c r="Q29" s="175"/>
      <c r="R29" s="176"/>
      <c r="S29" s="47"/>
      <c r="T29" s="175"/>
      <c r="U29" s="176"/>
      <c r="V29" s="47"/>
      <c r="W29" s="176"/>
      <c r="X29" s="58">
        <f>+ROUND((ROUND((_11_B通院２０．５＿１．０*_11・２人),0)*(1+_11・B深夜)),0)</f>
        <v>254</v>
      </c>
      <c r="Y29" s="59"/>
    </row>
    <row r="30" spans="1:25" ht="16.5" customHeight="1" x14ac:dyDescent="0.2">
      <c r="A30" s="149">
        <v>16</v>
      </c>
      <c r="B30" s="53">
        <v>7357</v>
      </c>
      <c r="C30" s="69" t="s">
        <v>1695</v>
      </c>
      <c r="D30" s="280"/>
      <c r="E30" s="67"/>
      <c r="F30" s="175"/>
      <c r="G30" s="280"/>
      <c r="H30" s="273"/>
      <c r="I30" s="274"/>
      <c r="J30" s="275" t="s">
        <v>398</v>
      </c>
      <c r="K30" s="132" t="s">
        <v>397</v>
      </c>
      <c r="L30" s="136">
        <v>0.9</v>
      </c>
      <c r="M30" s="145"/>
      <c r="N30" s="56"/>
      <c r="O30" s="57"/>
      <c r="P30" s="47"/>
      <c r="Q30" s="175"/>
      <c r="R30" s="176"/>
      <c r="S30" s="47"/>
      <c r="T30" s="175"/>
      <c r="U30" s="176"/>
      <c r="V30" s="47"/>
      <c r="W30" s="176"/>
      <c r="X30" s="58">
        <f>+ROUND((ROUND((_11_B通院２０．５＿１．０*_11・基礎２),0)*(1+_11・B深夜)),0)</f>
        <v>228</v>
      </c>
      <c r="Y30" s="59"/>
    </row>
    <row r="31" spans="1:25" ht="16.5" customHeight="1" x14ac:dyDescent="0.2">
      <c r="A31" s="149">
        <v>16</v>
      </c>
      <c r="B31" s="53">
        <v>7358</v>
      </c>
      <c r="C31" s="69" t="s">
        <v>1696</v>
      </c>
      <c r="D31" s="280"/>
      <c r="E31" s="67"/>
      <c r="F31" s="175"/>
      <c r="G31" s="280"/>
      <c r="H31" s="142">
        <f>_11_B通院２０．５＿１．０</f>
        <v>169</v>
      </c>
      <c r="I31" s="180" t="s">
        <v>394</v>
      </c>
      <c r="J31" s="242"/>
      <c r="K31" s="49"/>
      <c r="L31" s="135"/>
      <c r="M31" s="144" t="s">
        <v>396</v>
      </c>
      <c r="N31" s="131" t="s">
        <v>397</v>
      </c>
      <c r="O31" s="57">
        <v>1</v>
      </c>
      <c r="P31" s="47"/>
      <c r="Q31" s="175"/>
      <c r="R31" s="176"/>
      <c r="S31" s="47"/>
      <c r="T31" s="175"/>
      <c r="U31" s="176"/>
      <c r="V31" s="47"/>
      <c r="W31" s="176"/>
      <c r="X31" s="58">
        <f>+ROUND((ROUND((ROUND((_11_B通院２０．５＿１．０*_11・基礎２),0)*_11・２人),0)*(1+_11・B深夜)),0)</f>
        <v>228</v>
      </c>
      <c r="Y31" s="59"/>
    </row>
    <row r="32" spans="1:25" ht="16.5" customHeight="1" x14ac:dyDescent="0.2">
      <c r="A32" s="149">
        <v>16</v>
      </c>
      <c r="B32" s="53">
        <v>7359</v>
      </c>
      <c r="C32" s="69" t="s">
        <v>1697</v>
      </c>
      <c r="D32" s="280"/>
      <c r="E32" s="243" t="s">
        <v>1958</v>
      </c>
      <c r="F32" s="282"/>
      <c r="G32" s="280"/>
      <c r="H32" s="243" t="s">
        <v>1986</v>
      </c>
      <c r="I32" s="272"/>
      <c r="J32" s="62"/>
      <c r="K32" s="60"/>
      <c r="L32" s="61"/>
      <c r="M32" s="145"/>
      <c r="N32" s="56"/>
      <c r="O32" s="57"/>
      <c r="P32" s="47"/>
      <c r="Q32" s="175"/>
      <c r="R32" s="176"/>
      <c r="S32" s="47"/>
      <c r="T32" s="175"/>
      <c r="U32" s="176"/>
      <c r="V32" s="62"/>
      <c r="W32" s="61"/>
      <c r="X32" s="58">
        <f>+ROUND((_11_B通院２１．０＿０．５*(1+_11・B深夜)),0)</f>
        <v>117</v>
      </c>
      <c r="Y32" s="59"/>
    </row>
    <row r="33" spans="1:25" ht="16.5" customHeight="1" x14ac:dyDescent="0.2">
      <c r="A33" s="149">
        <v>16</v>
      </c>
      <c r="B33" s="53">
        <v>7360</v>
      </c>
      <c r="C33" s="69" t="s">
        <v>1698</v>
      </c>
      <c r="D33" s="280"/>
      <c r="E33" s="273"/>
      <c r="F33" s="283"/>
      <c r="G33" s="280"/>
      <c r="H33" s="273"/>
      <c r="I33" s="274"/>
      <c r="J33" s="54"/>
      <c r="K33" s="49"/>
      <c r="L33" s="50"/>
      <c r="M33" s="144" t="s">
        <v>396</v>
      </c>
      <c r="N33" s="131" t="s">
        <v>397</v>
      </c>
      <c r="O33" s="57">
        <v>1</v>
      </c>
      <c r="P33" s="47"/>
      <c r="Q33" s="175"/>
      <c r="R33" s="176"/>
      <c r="S33" s="47"/>
      <c r="T33" s="175"/>
      <c r="U33" s="176"/>
      <c r="V33" s="47"/>
      <c r="W33" s="176"/>
      <c r="X33" s="58">
        <f>+ROUND((ROUND((_11_B通院２１．０＿０．５*_11・２人),0)*(1+_11・B深夜)),0)</f>
        <v>117</v>
      </c>
      <c r="Y33" s="59"/>
    </row>
    <row r="34" spans="1:25" ht="16.5" customHeight="1" x14ac:dyDescent="0.2">
      <c r="A34" s="149">
        <v>16</v>
      </c>
      <c r="B34" s="53">
        <v>7361</v>
      </c>
      <c r="C34" s="69" t="s">
        <v>1699</v>
      </c>
      <c r="D34" s="280"/>
      <c r="E34" s="273"/>
      <c r="F34" s="283"/>
      <c r="G34" s="280"/>
      <c r="H34" s="273"/>
      <c r="I34" s="274"/>
      <c r="J34" s="275" t="s">
        <v>398</v>
      </c>
      <c r="K34" s="132" t="s">
        <v>397</v>
      </c>
      <c r="L34" s="136">
        <v>0.9</v>
      </c>
      <c r="M34" s="145"/>
      <c r="N34" s="56"/>
      <c r="O34" s="57"/>
      <c r="P34" s="47"/>
      <c r="Q34" s="175"/>
      <c r="R34" s="176"/>
      <c r="S34" s="47"/>
      <c r="T34" s="175"/>
      <c r="U34" s="176"/>
      <c r="V34" s="47"/>
      <c r="W34" s="176"/>
      <c r="X34" s="58">
        <f>+ROUND((ROUND((_11_B通院２１．０＿０．５*_11・基礎２),0)*(1+_11・B深夜)),0)</f>
        <v>105</v>
      </c>
      <c r="Y34" s="59"/>
    </row>
    <row r="35" spans="1:25" ht="16.5" customHeight="1" x14ac:dyDescent="0.2">
      <c r="A35" s="149">
        <v>16</v>
      </c>
      <c r="B35" s="53">
        <v>7362</v>
      </c>
      <c r="C35" s="69" t="s">
        <v>1700</v>
      </c>
      <c r="D35" s="281"/>
      <c r="E35" s="96"/>
      <c r="F35" s="49"/>
      <c r="G35" s="281"/>
      <c r="H35" s="143">
        <f>_11_B通院２１．０＿０．５</f>
        <v>78</v>
      </c>
      <c r="I35" s="141" t="s">
        <v>394</v>
      </c>
      <c r="J35" s="242"/>
      <c r="K35" s="49"/>
      <c r="L35" s="135"/>
      <c r="M35" s="144" t="s">
        <v>396</v>
      </c>
      <c r="N35" s="131" t="s">
        <v>397</v>
      </c>
      <c r="O35" s="57">
        <v>1</v>
      </c>
      <c r="P35" s="54"/>
      <c r="Q35" s="49"/>
      <c r="R35" s="50"/>
      <c r="S35" s="54"/>
      <c r="T35" s="49"/>
      <c r="U35" s="50"/>
      <c r="V35" s="54"/>
      <c r="W35" s="50"/>
      <c r="X35" s="58">
        <f>+ROUND((ROUND((ROUND((_11_B通院２１．０＿０．５*_11・基礎２),0)*_11・２人),0)*(1+_11・B深夜)),0)</f>
        <v>105</v>
      </c>
      <c r="Y35" s="111"/>
    </row>
    <row r="36" spans="1:25" ht="16.5" customHeight="1" x14ac:dyDescent="0.2"/>
    <row r="37" spans="1:25" ht="16.5" customHeight="1" x14ac:dyDescent="0.2"/>
  </sheetData>
  <mergeCells count="23">
    <mergeCell ref="G11:I13"/>
    <mergeCell ref="J13:J14"/>
    <mergeCell ref="U8:U9"/>
    <mergeCell ref="J9:J10"/>
    <mergeCell ref="D6:F6"/>
    <mergeCell ref="G6:I6"/>
    <mergeCell ref="D7:F9"/>
    <mergeCell ref="G7:I9"/>
    <mergeCell ref="R8:R9"/>
    <mergeCell ref="U25:U26"/>
    <mergeCell ref="J26:J27"/>
    <mergeCell ref="J30:J31"/>
    <mergeCell ref="E32:F34"/>
    <mergeCell ref="H32:I34"/>
    <mergeCell ref="J34:J35"/>
    <mergeCell ref="H28:I30"/>
    <mergeCell ref="D15:F17"/>
    <mergeCell ref="G15:I17"/>
    <mergeCell ref="J17:J18"/>
    <mergeCell ref="D24:D35"/>
    <mergeCell ref="E24:F26"/>
    <mergeCell ref="G24:G35"/>
    <mergeCell ref="H24:I26"/>
  </mergeCells>
  <phoneticPr fontId="1"/>
  <printOptions horizontalCentered="1"/>
  <pageMargins left="0.70866141732283505" right="0.70866141732283505" top="0.74803149606299202" bottom="0.74803149606299202" header="0.31496062992126" footer="0.31496062992126"/>
  <pageSetup paperSize="9" scale="50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38"/>
  <sheetViews>
    <sheetView workbookViewId="0"/>
  </sheetViews>
  <sheetFormatPr defaultColWidth="8.90625" defaultRowHeight="14" x14ac:dyDescent="0.2"/>
  <cols>
    <col min="1" max="1" width="4.6328125" style="22" customWidth="1"/>
    <col min="2" max="2" width="7.6328125" style="22" customWidth="1"/>
    <col min="3" max="3" width="43.90625" style="23" bestFit="1" customWidth="1"/>
    <col min="4" max="4" width="4.90625" style="23" customWidth="1"/>
    <col min="5" max="5" width="4.90625" style="25" customWidth="1"/>
    <col min="6" max="6" width="4.90625" style="23" customWidth="1"/>
    <col min="7" max="7" width="4.90625" style="25" customWidth="1"/>
    <col min="8" max="8" width="4.90625" style="23" customWidth="1"/>
    <col min="9" max="9" width="4.90625" style="25" customWidth="1"/>
    <col min="10" max="10" width="11.90625" style="25" customWidth="1"/>
    <col min="11" max="11" width="2.453125" style="25" customWidth="1"/>
    <col min="12" max="12" width="4.453125" style="26" bestFit="1" customWidth="1"/>
    <col min="13" max="13" width="26" style="25" customWidth="1"/>
    <col min="14" max="14" width="2.453125" style="25" customWidth="1"/>
    <col min="15" max="15" width="5.453125" style="26" bestFit="1" customWidth="1"/>
    <col min="16" max="16" width="2.453125" style="25" customWidth="1"/>
    <col min="17" max="17" width="3.90625" style="25" customWidth="1"/>
    <col min="18" max="18" width="4.453125" style="26" bestFit="1" customWidth="1"/>
    <col min="19" max="19" width="2.453125" style="25" customWidth="1"/>
    <col min="20" max="20" width="3.90625" style="25" customWidth="1"/>
    <col min="21" max="21" width="4.453125" style="26" bestFit="1" customWidth="1"/>
    <col min="22" max="22" width="9.90625" style="25" customWidth="1"/>
    <col min="23" max="23" width="4.453125" style="26" bestFit="1" customWidth="1"/>
    <col min="24" max="24" width="7.08984375" style="28" customWidth="1"/>
    <col min="25" max="25" width="8.6328125" style="29" customWidth="1"/>
    <col min="26" max="16384" width="8.90625" style="25"/>
  </cols>
  <sheetData>
    <row r="1" spans="1:25" ht="17.149999999999999" customHeight="1" x14ac:dyDescent="0.2"/>
    <row r="2" spans="1:25" ht="17.149999999999999" customHeight="1" x14ac:dyDescent="0.2"/>
    <row r="3" spans="1:25" ht="17.149999999999999" customHeight="1" x14ac:dyDescent="0.2"/>
    <row r="4" spans="1:25" ht="17.149999999999999" customHeight="1" x14ac:dyDescent="0.2">
      <c r="B4" s="30" t="s">
        <v>1701</v>
      </c>
      <c r="D4" s="65"/>
    </row>
    <row r="5" spans="1:25" ht="16.5" customHeight="1" x14ac:dyDescent="0.2">
      <c r="A5" s="31" t="s">
        <v>386</v>
      </c>
      <c r="B5" s="32"/>
      <c r="C5" s="33" t="s">
        <v>387</v>
      </c>
      <c r="D5" s="34" t="s">
        <v>388</v>
      </c>
      <c r="E5" s="34"/>
      <c r="F5" s="34"/>
      <c r="G5" s="34"/>
      <c r="H5" s="34"/>
      <c r="I5" s="34"/>
      <c r="J5" s="34"/>
      <c r="K5" s="34"/>
      <c r="L5" s="35"/>
      <c r="M5" s="34"/>
      <c r="N5" s="34"/>
      <c r="O5" s="35"/>
      <c r="P5" s="34"/>
      <c r="Q5" s="34"/>
      <c r="R5" s="35"/>
      <c r="S5" s="34"/>
      <c r="T5" s="34"/>
      <c r="U5" s="35"/>
      <c r="V5" s="34"/>
      <c r="W5" s="35"/>
      <c r="X5" s="36" t="s">
        <v>389</v>
      </c>
      <c r="Y5" s="33" t="s">
        <v>390</v>
      </c>
    </row>
    <row r="6" spans="1:25" ht="16.5" customHeight="1" x14ac:dyDescent="0.2">
      <c r="A6" s="37" t="s">
        <v>391</v>
      </c>
      <c r="B6" s="37" t="s">
        <v>392</v>
      </c>
      <c r="C6" s="38"/>
      <c r="D6" s="77" t="s">
        <v>403</v>
      </c>
      <c r="E6" s="32"/>
      <c r="F6" s="77" t="s">
        <v>404</v>
      </c>
      <c r="G6" s="32"/>
      <c r="H6" s="40"/>
      <c r="I6" s="40"/>
      <c r="J6" s="40"/>
      <c r="K6" s="40"/>
      <c r="L6" s="41"/>
      <c r="M6" s="40"/>
      <c r="N6" s="40"/>
      <c r="O6" s="41"/>
      <c r="P6" s="40"/>
      <c r="Q6" s="40"/>
      <c r="R6" s="41"/>
      <c r="S6" s="40"/>
      <c r="T6" s="40"/>
      <c r="U6" s="41"/>
      <c r="V6" s="40"/>
      <c r="W6" s="41"/>
      <c r="X6" s="42" t="s">
        <v>393</v>
      </c>
      <c r="Y6" s="43" t="s">
        <v>394</v>
      </c>
    </row>
    <row r="7" spans="1:25" ht="16.5" customHeight="1" x14ac:dyDescent="0.2">
      <c r="A7" s="44">
        <v>16</v>
      </c>
      <c r="B7" s="44">
        <v>7363</v>
      </c>
      <c r="C7" s="69" t="s">
        <v>1705</v>
      </c>
      <c r="D7" s="243" t="s">
        <v>1957</v>
      </c>
      <c r="E7" s="272"/>
      <c r="F7" s="243" t="s">
        <v>1970</v>
      </c>
      <c r="G7" s="272"/>
      <c r="H7" s="243" t="s">
        <v>1975</v>
      </c>
      <c r="I7" s="272"/>
      <c r="J7" s="62"/>
      <c r="K7" s="60"/>
      <c r="L7" s="61"/>
      <c r="M7" s="109"/>
      <c r="N7" s="56"/>
      <c r="O7" s="57"/>
      <c r="P7" s="89" t="s">
        <v>405</v>
      </c>
      <c r="Q7" s="181"/>
      <c r="R7" s="136"/>
      <c r="S7" s="87" t="s">
        <v>406</v>
      </c>
      <c r="T7" s="181"/>
      <c r="U7" s="136"/>
      <c r="V7" s="62"/>
      <c r="W7" s="136"/>
      <c r="X7" s="70">
        <f>ROUND((_11_A通院２０．５*(1+_11・A深夜)),0)+ROUND((_11_B通院２０．５＿０．５*(1+_11・B早朝)),0)+_11_C通院２０．５＿０．５＿０．５</f>
        <v>351</v>
      </c>
      <c r="Y7" s="101" t="s">
        <v>395</v>
      </c>
    </row>
    <row r="8" spans="1:25" ht="16.5" customHeight="1" x14ac:dyDescent="0.2">
      <c r="A8" s="44">
        <v>16</v>
      </c>
      <c r="B8" s="53">
        <v>7364</v>
      </c>
      <c r="C8" s="69" t="s">
        <v>1706</v>
      </c>
      <c r="D8" s="273"/>
      <c r="E8" s="274"/>
      <c r="F8" s="273"/>
      <c r="G8" s="274"/>
      <c r="H8" s="273"/>
      <c r="I8" s="274"/>
      <c r="J8" s="54"/>
      <c r="K8" s="49"/>
      <c r="L8" s="50"/>
      <c r="M8" s="144" t="s">
        <v>396</v>
      </c>
      <c r="N8" s="131" t="s">
        <v>397</v>
      </c>
      <c r="O8" s="57">
        <v>1</v>
      </c>
      <c r="P8" s="139" t="s">
        <v>397</v>
      </c>
      <c r="Q8" s="176">
        <v>0.5</v>
      </c>
      <c r="R8" s="246" t="s">
        <v>400</v>
      </c>
      <c r="S8" s="139" t="s">
        <v>397</v>
      </c>
      <c r="T8" s="176">
        <v>0.25</v>
      </c>
      <c r="U8" s="246" t="s">
        <v>400</v>
      </c>
      <c r="V8" s="47"/>
      <c r="W8" s="133"/>
      <c r="X8" s="70">
        <f>ROUND((ROUND((_11_A通院２０．５*_11・２人),0)*(1+_11・A深夜)),0)+ROUND((ROUND((_11_B通院２０．５＿０．５*_11・２人),0)*(1+_11・B早朝)),0)+ROUND((_11_C通院２０．５＿０．５＿０．５*_11・２人),0)</f>
        <v>351</v>
      </c>
      <c r="Y8" s="59"/>
    </row>
    <row r="9" spans="1:25" ht="16.5" customHeight="1" x14ac:dyDescent="0.2">
      <c r="A9" s="44">
        <v>16</v>
      </c>
      <c r="B9" s="53">
        <v>7365</v>
      </c>
      <c r="C9" s="69" t="s">
        <v>1707</v>
      </c>
      <c r="D9" s="273"/>
      <c r="E9" s="274"/>
      <c r="F9" s="273"/>
      <c r="G9" s="274"/>
      <c r="H9" s="273"/>
      <c r="I9" s="274"/>
      <c r="J9" s="241" t="s">
        <v>398</v>
      </c>
      <c r="K9" s="132" t="s">
        <v>397</v>
      </c>
      <c r="L9" s="61">
        <v>0.9</v>
      </c>
      <c r="M9" s="109"/>
      <c r="N9" s="56"/>
      <c r="O9" s="57"/>
      <c r="P9" s="47"/>
      <c r="Q9" s="175"/>
      <c r="R9" s="274"/>
      <c r="S9" s="47"/>
      <c r="T9" s="175"/>
      <c r="U9" s="274"/>
      <c r="V9" s="47"/>
      <c r="W9" s="133"/>
      <c r="X9" s="70">
        <f>ROUND((ROUND((_11_A通院２０．５*_11・基礎２),0)*(1+_11・A深夜)),0)+ROUND((ROUND((_11_B通院２０．５＿０．５*_11・基礎２),0)*(1+_11・B早朝)),0)+ROUND((_11_C通院２０．５＿０．５＿０．５*_11・基礎２),0)</f>
        <v>316</v>
      </c>
      <c r="Y9" s="59"/>
    </row>
    <row r="10" spans="1:25" ht="16.5" customHeight="1" x14ac:dyDescent="0.2">
      <c r="A10" s="44">
        <v>16</v>
      </c>
      <c r="B10" s="53">
        <v>7366</v>
      </c>
      <c r="C10" s="69" t="s">
        <v>1708</v>
      </c>
      <c r="D10" s="143">
        <f>_11_A通院２０．５</f>
        <v>106</v>
      </c>
      <c r="E10" s="177" t="s">
        <v>394</v>
      </c>
      <c r="F10" s="143">
        <f>_11_B通院２０．５＿０．５</f>
        <v>91</v>
      </c>
      <c r="G10" s="177" t="s">
        <v>394</v>
      </c>
      <c r="H10" s="143">
        <f>_11_C通院２０．５＿０．５＿０．５</f>
        <v>78</v>
      </c>
      <c r="I10" s="177" t="s">
        <v>394</v>
      </c>
      <c r="J10" s="242"/>
      <c r="K10" s="49"/>
      <c r="L10" s="50"/>
      <c r="M10" s="144" t="s">
        <v>396</v>
      </c>
      <c r="N10" s="131" t="s">
        <v>397</v>
      </c>
      <c r="O10" s="57">
        <v>1</v>
      </c>
      <c r="P10" s="54"/>
      <c r="Q10" s="49"/>
      <c r="R10" s="135"/>
      <c r="S10" s="54"/>
      <c r="T10" s="49"/>
      <c r="U10" s="135"/>
      <c r="V10" s="54"/>
      <c r="W10" s="135"/>
      <c r="X10" s="70">
        <f>ROUND((ROUND((ROUND((_11_A通院２０．５*_11・基礎２),0)*_11・２人),0)*(1+_11・A深夜)),0)+ROUND((ROUND((ROUND((_11_B通院２０．５＿０．５*_11・基礎２),0)*_11・２人),0)*(1+_11・B早朝)),0)+ROUND((ROUND((_11_C通院２０．５＿０．５＿０．５*_11・基礎２),0)*_11・２人),0)</f>
        <v>316</v>
      </c>
      <c r="Y10" s="111"/>
    </row>
    <row r="11" spans="1:25" ht="16.5" customHeight="1" x14ac:dyDescent="0.2">
      <c r="A11" s="71"/>
      <c r="B11" s="71"/>
      <c r="C11" s="72"/>
      <c r="M11" s="73"/>
      <c r="X11" s="74"/>
      <c r="Y11" s="75"/>
    </row>
    <row r="12" spans="1:25" ht="16.5" customHeight="1" x14ac:dyDescent="0.2">
      <c r="A12" s="71"/>
      <c r="B12" s="71"/>
      <c r="C12" s="72"/>
      <c r="M12" s="73"/>
      <c r="X12" s="74"/>
      <c r="Y12" s="75"/>
    </row>
    <row r="13" spans="1:25" ht="16.5" customHeight="1" x14ac:dyDescent="0.2">
      <c r="A13" s="71"/>
      <c r="B13" s="76" t="s">
        <v>1702</v>
      </c>
      <c r="C13" s="72"/>
      <c r="D13" s="65"/>
      <c r="M13" s="73"/>
      <c r="X13" s="74"/>
      <c r="Y13" s="75"/>
    </row>
    <row r="14" spans="1:25" ht="16.5" customHeight="1" x14ac:dyDescent="0.2">
      <c r="A14" s="77" t="s">
        <v>386</v>
      </c>
      <c r="B14" s="32"/>
      <c r="C14" s="78" t="s">
        <v>387</v>
      </c>
      <c r="D14" s="34" t="s">
        <v>388</v>
      </c>
      <c r="E14" s="34"/>
      <c r="F14" s="34"/>
      <c r="G14" s="34"/>
      <c r="H14" s="34"/>
      <c r="I14" s="34"/>
      <c r="J14" s="34"/>
      <c r="K14" s="34"/>
      <c r="L14" s="35"/>
      <c r="M14" s="146"/>
      <c r="N14" s="34"/>
      <c r="O14" s="35"/>
      <c r="P14" s="34"/>
      <c r="Q14" s="34"/>
      <c r="R14" s="35"/>
      <c r="S14" s="34"/>
      <c r="T14" s="34"/>
      <c r="U14" s="35"/>
      <c r="V14" s="34"/>
      <c r="W14" s="35"/>
      <c r="X14" s="36" t="s">
        <v>389</v>
      </c>
      <c r="Y14" s="33" t="s">
        <v>390</v>
      </c>
    </row>
    <row r="15" spans="1:25" ht="16.5" customHeight="1" x14ac:dyDescent="0.2">
      <c r="A15" s="37" t="s">
        <v>391</v>
      </c>
      <c r="B15" s="37" t="s">
        <v>392</v>
      </c>
      <c r="C15" s="79"/>
      <c r="D15" s="77" t="s">
        <v>403</v>
      </c>
      <c r="E15" s="32"/>
      <c r="F15" s="40"/>
      <c r="G15" s="40"/>
      <c r="H15" s="40"/>
      <c r="I15" s="40"/>
      <c r="J15" s="40"/>
      <c r="K15" s="40"/>
      <c r="L15" s="41"/>
      <c r="M15" s="147"/>
      <c r="N15" s="40"/>
      <c r="O15" s="41"/>
      <c r="P15" s="40"/>
      <c r="Q15" s="40"/>
      <c r="R15" s="41"/>
      <c r="S15" s="40"/>
      <c r="T15" s="40"/>
      <c r="U15" s="41"/>
      <c r="V15" s="40"/>
      <c r="W15" s="41"/>
      <c r="X15" s="42" t="s">
        <v>393</v>
      </c>
      <c r="Y15" s="43" t="s">
        <v>394</v>
      </c>
    </row>
    <row r="16" spans="1:25" ht="16.5" customHeight="1" x14ac:dyDescent="0.2">
      <c r="A16" s="44">
        <v>16</v>
      </c>
      <c r="B16" s="44">
        <v>7367</v>
      </c>
      <c r="C16" s="45" t="s">
        <v>1709</v>
      </c>
      <c r="D16" s="245" t="s">
        <v>1957</v>
      </c>
      <c r="E16" s="274"/>
      <c r="F16" s="245" t="s">
        <v>1975</v>
      </c>
      <c r="G16" s="277"/>
      <c r="H16" s="67"/>
      <c r="I16" s="63"/>
      <c r="M16" s="64"/>
      <c r="N16" s="49"/>
      <c r="O16" s="50"/>
      <c r="P16" s="67" t="s">
        <v>405</v>
      </c>
      <c r="R16" s="133"/>
      <c r="S16" s="47"/>
      <c r="U16" s="133"/>
      <c r="V16" s="47"/>
      <c r="W16" s="133"/>
      <c r="X16" s="81">
        <f>ROUND((_11_A通院２０．５*(1+_11・A深夜)),0)+_11_B通院２０．５＿０．５</f>
        <v>250</v>
      </c>
      <c r="Y16" s="52" t="s">
        <v>395</v>
      </c>
    </row>
    <row r="17" spans="1:25" ht="16.5" customHeight="1" x14ac:dyDescent="0.2">
      <c r="A17" s="44">
        <v>16</v>
      </c>
      <c r="B17" s="53">
        <v>7368</v>
      </c>
      <c r="C17" s="69" t="s">
        <v>1710</v>
      </c>
      <c r="D17" s="273"/>
      <c r="E17" s="274"/>
      <c r="F17" s="273"/>
      <c r="G17" s="277"/>
      <c r="H17" s="67"/>
      <c r="I17" s="63"/>
      <c r="J17" s="49"/>
      <c r="K17" s="49"/>
      <c r="L17" s="50"/>
      <c r="M17" s="144" t="s">
        <v>396</v>
      </c>
      <c r="N17" s="131" t="s">
        <v>397</v>
      </c>
      <c r="O17" s="57">
        <v>1</v>
      </c>
      <c r="P17" s="139" t="s">
        <v>397</v>
      </c>
      <c r="Q17" s="26">
        <v>0.5</v>
      </c>
      <c r="R17" s="246" t="s">
        <v>400</v>
      </c>
      <c r="S17" s="47"/>
      <c r="U17" s="133"/>
      <c r="V17" s="47"/>
      <c r="W17" s="133"/>
      <c r="X17" s="82">
        <f>ROUND((ROUND((_11_A通院２０．５*_11・２人),0)*(1+_11・A深夜)),0)+ROUND((_11_B通院２０．５＿０．５*_11・２人),0)</f>
        <v>250</v>
      </c>
      <c r="Y17" s="59"/>
    </row>
    <row r="18" spans="1:25" ht="16.5" customHeight="1" x14ac:dyDescent="0.2">
      <c r="A18" s="44">
        <v>16</v>
      </c>
      <c r="B18" s="53">
        <v>7369</v>
      </c>
      <c r="C18" s="69" t="s">
        <v>1711</v>
      </c>
      <c r="D18" s="273"/>
      <c r="E18" s="274"/>
      <c r="F18" s="273"/>
      <c r="G18" s="277"/>
      <c r="H18" s="67"/>
      <c r="I18" s="63"/>
      <c r="J18" s="241" t="s">
        <v>398</v>
      </c>
      <c r="K18" s="132" t="s">
        <v>397</v>
      </c>
      <c r="L18" s="61">
        <v>0.9</v>
      </c>
      <c r="M18" s="145"/>
      <c r="N18" s="56"/>
      <c r="O18" s="57"/>
      <c r="P18" s="47"/>
      <c r="R18" s="274"/>
      <c r="S18" s="47"/>
      <c r="U18" s="133"/>
      <c r="V18" s="47"/>
      <c r="W18" s="133"/>
      <c r="X18" s="82">
        <f>ROUND((ROUND((_11_A通院２０．５*_11・基礎２),0)*(1+_11・A深夜)),0)+ROUND((_11_B通院２０．５＿０．５*_11・基礎２),0)</f>
        <v>225</v>
      </c>
      <c r="Y18" s="59"/>
    </row>
    <row r="19" spans="1:25" ht="16.5" customHeight="1" x14ac:dyDescent="0.2">
      <c r="A19" s="44">
        <v>16</v>
      </c>
      <c r="B19" s="53">
        <v>7370</v>
      </c>
      <c r="C19" s="69" t="s">
        <v>1712</v>
      </c>
      <c r="D19" s="142">
        <f>_11_A通院２０．５</f>
        <v>106</v>
      </c>
      <c r="E19" s="137" t="s">
        <v>394</v>
      </c>
      <c r="F19" s="142">
        <f>_11_B通院２０．５＿０．５</f>
        <v>91</v>
      </c>
      <c r="G19" s="137" t="s">
        <v>394</v>
      </c>
      <c r="H19" s="67"/>
      <c r="I19" s="63"/>
      <c r="J19" s="242"/>
      <c r="K19" s="49"/>
      <c r="L19" s="50"/>
      <c r="M19" s="144" t="s">
        <v>396</v>
      </c>
      <c r="N19" s="131" t="s">
        <v>397</v>
      </c>
      <c r="O19" s="57">
        <v>1</v>
      </c>
      <c r="P19" s="47"/>
      <c r="S19" s="47"/>
      <c r="U19" s="133"/>
      <c r="V19" s="47"/>
      <c r="W19" s="133"/>
      <c r="X19" s="82">
        <f>ROUND((ROUND((ROUND((_11_A通院２０．５*_11・基礎２),0)*_11・２人),0)*(1+_11・A深夜)),0)+ROUND((ROUND((_11_B通院２０．５＿０．５*_11・基礎２),0)*_11・２人),0)</f>
        <v>225</v>
      </c>
      <c r="Y19" s="59"/>
    </row>
    <row r="20" spans="1:25" ht="16.5" customHeight="1" x14ac:dyDescent="0.2">
      <c r="A20" s="44">
        <v>16</v>
      </c>
      <c r="B20" s="53">
        <v>7371</v>
      </c>
      <c r="C20" s="69" t="s">
        <v>1713</v>
      </c>
      <c r="D20" s="67"/>
      <c r="F20" s="243" t="s">
        <v>1976</v>
      </c>
      <c r="G20" s="282"/>
      <c r="H20" s="67"/>
      <c r="I20" s="63"/>
      <c r="J20" s="60"/>
      <c r="K20" s="60"/>
      <c r="L20" s="61"/>
      <c r="M20" s="145"/>
      <c r="N20" s="56"/>
      <c r="O20" s="57"/>
      <c r="P20" s="47"/>
      <c r="S20" s="47"/>
      <c r="U20" s="133"/>
      <c r="V20" s="62"/>
      <c r="W20" s="136"/>
      <c r="X20" s="82">
        <f>ROUND((_11_A通院２０．５*(1+_11・A深夜)),0)+_11_B通院２０．５＿１．０</f>
        <v>328</v>
      </c>
      <c r="Y20" s="59"/>
    </row>
    <row r="21" spans="1:25" ht="16.5" customHeight="1" x14ac:dyDescent="0.2">
      <c r="A21" s="44">
        <v>16</v>
      </c>
      <c r="B21" s="53">
        <v>7372</v>
      </c>
      <c r="C21" s="69" t="s">
        <v>1714</v>
      </c>
      <c r="D21" s="67"/>
      <c r="F21" s="273"/>
      <c r="G21" s="277"/>
      <c r="H21" s="67"/>
      <c r="I21" s="63"/>
      <c r="J21" s="49"/>
      <c r="K21" s="49"/>
      <c r="L21" s="50"/>
      <c r="M21" s="144" t="s">
        <v>396</v>
      </c>
      <c r="N21" s="131" t="s">
        <v>397</v>
      </c>
      <c r="O21" s="57">
        <v>1</v>
      </c>
      <c r="P21" s="47"/>
      <c r="S21" s="47"/>
      <c r="U21" s="133"/>
      <c r="V21" s="47"/>
      <c r="W21" s="133"/>
      <c r="X21" s="82">
        <f>ROUND((ROUND((_11_A通院２０．５*_11・２人),0)*(1+_11・A深夜)),0)+ROUND((_11_B通院２０．５＿１．０*_11・２人),0)</f>
        <v>328</v>
      </c>
      <c r="Y21" s="59"/>
    </row>
    <row r="22" spans="1:25" ht="16.5" customHeight="1" x14ac:dyDescent="0.2">
      <c r="A22" s="44">
        <v>16</v>
      </c>
      <c r="B22" s="53">
        <v>7373</v>
      </c>
      <c r="C22" s="69" t="s">
        <v>1715</v>
      </c>
      <c r="D22" s="67"/>
      <c r="F22" s="273"/>
      <c r="G22" s="277"/>
      <c r="H22" s="67"/>
      <c r="I22" s="63"/>
      <c r="J22" s="275" t="s">
        <v>398</v>
      </c>
      <c r="K22" s="132" t="s">
        <v>397</v>
      </c>
      <c r="L22" s="61">
        <v>0.9</v>
      </c>
      <c r="M22" s="145"/>
      <c r="N22" s="56"/>
      <c r="O22" s="57"/>
      <c r="P22" s="47"/>
      <c r="S22" s="47"/>
      <c r="U22" s="133"/>
      <c r="V22" s="47"/>
      <c r="W22" s="133"/>
      <c r="X22" s="82">
        <f>ROUND((ROUND((_11_A通院２０．５*_11・基礎２),0)*(1+_11・A深夜)),0)+ROUND((_11_B通院２０．５＿１．０*_11・基礎２),0)</f>
        <v>295</v>
      </c>
      <c r="Y22" s="59"/>
    </row>
    <row r="23" spans="1:25" ht="16.5" customHeight="1" x14ac:dyDescent="0.2">
      <c r="A23" s="44">
        <v>16</v>
      </c>
      <c r="B23" s="53">
        <v>7374</v>
      </c>
      <c r="C23" s="69" t="s">
        <v>1716</v>
      </c>
      <c r="D23" s="67"/>
      <c r="F23" s="142">
        <f>_11_B通院２０．５＿１．０</f>
        <v>169</v>
      </c>
      <c r="G23" s="137" t="s">
        <v>394</v>
      </c>
      <c r="H23" s="67"/>
      <c r="I23" s="63"/>
      <c r="J23" s="242"/>
      <c r="K23" s="49"/>
      <c r="L23" s="50"/>
      <c r="M23" s="144" t="s">
        <v>396</v>
      </c>
      <c r="N23" s="131" t="s">
        <v>397</v>
      </c>
      <c r="O23" s="57">
        <v>1</v>
      </c>
      <c r="P23" s="47"/>
      <c r="S23" s="47"/>
      <c r="U23" s="133"/>
      <c r="V23" s="47"/>
      <c r="W23" s="133"/>
      <c r="X23" s="82">
        <f>ROUND((ROUND((ROUND((_11_A通院２０．５*_11・基礎２),0)*_11・２人),0)*(1+_11・A深夜)),0)+ROUND((ROUND((_11_B通院２０．５＿１．０*_11・基礎２),0)*_11・２人),0)</f>
        <v>295</v>
      </c>
      <c r="Y23" s="59"/>
    </row>
    <row r="24" spans="1:25" ht="16.5" customHeight="1" x14ac:dyDescent="0.2">
      <c r="A24" s="44">
        <v>16</v>
      </c>
      <c r="B24" s="53">
        <v>7375</v>
      </c>
      <c r="C24" s="69" t="s">
        <v>1717</v>
      </c>
      <c r="D24" s="243" t="s">
        <v>1958</v>
      </c>
      <c r="E24" s="272"/>
      <c r="F24" s="243" t="s">
        <v>1975</v>
      </c>
      <c r="G24" s="272"/>
      <c r="H24" s="67"/>
      <c r="I24" s="63"/>
      <c r="J24" s="60"/>
      <c r="K24" s="60"/>
      <c r="L24" s="61"/>
      <c r="M24" s="145"/>
      <c r="N24" s="56"/>
      <c r="O24" s="57"/>
      <c r="P24" s="47"/>
      <c r="Q24" s="175"/>
      <c r="R24" s="176"/>
      <c r="S24" s="47"/>
      <c r="T24" s="175"/>
      <c r="U24" s="133"/>
      <c r="V24" s="62"/>
      <c r="W24" s="136"/>
      <c r="X24" s="82">
        <f>ROUND((_11_A通院２１．０*(1+_11・A深夜)),0)+_11_B通院２１．０＿０．５</f>
        <v>374</v>
      </c>
      <c r="Y24" s="59"/>
    </row>
    <row r="25" spans="1:25" ht="16.5" customHeight="1" x14ac:dyDescent="0.2">
      <c r="A25" s="44">
        <v>16</v>
      </c>
      <c r="B25" s="53">
        <v>7376</v>
      </c>
      <c r="C25" s="69" t="s">
        <v>1718</v>
      </c>
      <c r="D25" s="273"/>
      <c r="E25" s="274"/>
      <c r="F25" s="273"/>
      <c r="G25" s="274"/>
      <c r="H25" s="67"/>
      <c r="I25" s="63"/>
      <c r="J25" s="49"/>
      <c r="K25" s="49"/>
      <c r="L25" s="50"/>
      <c r="M25" s="144" t="s">
        <v>396</v>
      </c>
      <c r="N25" s="131" t="s">
        <v>397</v>
      </c>
      <c r="O25" s="57">
        <v>1</v>
      </c>
      <c r="P25" s="47"/>
      <c r="Q25" s="175"/>
      <c r="R25" s="176"/>
      <c r="S25" s="47"/>
      <c r="T25" s="175"/>
      <c r="U25" s="133"/>
      <c r="V25" s="47"/>
      <c r="W25" s="133"/>
      <c r="X25" s="82">
        <f>ROUND((ROUND((_11_A通院２１．０*_11・２人),0)*(1+_11・A深夜)),0)+ROUND((_11_B通院２１．０＿０．５*_11・２人),0)</f>
        <v>374</v>
      </c>
      <c r="Y25" s="59"/>
    </row>
    <row r="26" spans="1:25" ht="16.5" customHeight="1" x14ac:dyDescent="0.2">
      <c r="A26" s="44">
        <v>16</v>
      </c>
      <c r="B26" s="53">
        <v>7377</v>
      </c>
      <c r="C26" s="69" t="s">
        <v>1719</v>
      </c>
      <c r="D26" s="273"/>
      <c r="E26" s="274"/>
      <c r="F26" s="273"/>
      <c r="G26" s="274"/>
      <c r="H26" s="67"/>
      <c r="I26" s="63"/>
      <c r="J26" s="275" t="s">
        <v>398</v>
      </c>
      <c r="K26" s="132" t="s">
        <v>397</v>
      </c>
      <c r="L26" s="61">
        <v>0.9</v>
      </c>
      <c r="M26" s="145"/>
      <c r="N26" s="56"/>
      <c r="O26" s="57"/>
      <c r="P26" s="47"/>
      <c r="Q26" s="175"/>
      <c r="R26" s="176"/>
      <c r="S26" s="47"/>
      <c r="T26" s="175"/>
      <c r="U26" s="133"/>
      <c r="V26" s="47"/>
      <c r="W26" s="133"/>
      <c r="X26" s="82">
        <f>ROUND((ROUND((_11_A通院２１．０*_11・基礎２),0)*(1+_11・A深夜)),0)+ROUND((_11_B通院２１．０＿０．５*_11・基礎２),0)</f>
        <v>336</v>
      </c>
      <c r="Y26" s="59"/>
    </row>
    <row r="27" spans="1:25" ht="16.5" customHeight="1" x14ac:dyDescent="0.2">
      <c r="A27" s="44">
        <v>16</v>
      </c>
      <c r="B27" s="53">
        <v>7378</v>
      </c>
      <c r="C27" s="69" t="s">
        <v>1720</v>
      </c>
      <c r="D27" s="143">
        <f>_11_A通院２１．０</f>
        <v>197</v>
      </c>
      <c r="E27" s="141" t="s">
        <v>394</v>
      </c>
      <c r="F27" s="143">
        <f>_11_B通院２１．０＿０．５</f>
        <v>78</v>
      </c>
      <c r="G27" s="141" t="s">
        <v>394</v>
      </c>
      <c r="H27" s="96"/>
      <c r="I27" s="97"/>
      <c r="J27" s="242"/>
      <c r="K27" s="49"/>
      <c r="L27" s="50"/>
      <c r="M27" s="144" t="s">
        <v>396</v>
      </c>
      <c r="N27" s="131" t="s">
        <v>397</v>
      </c>
      <c r="O27" s="57">
        <v>1</v>
      </c>
      <c r="P27" s="54"/>
      <c r="Q27" s="49"/>
      <c r="R27" s="50"/>
      <c r="S27" s="54"/>
      <c r="T27" s="49"/>
      <c r="U27" s="135"/>
      <c r="V27" s="54"/>
      <c r="W27" s="135"/>
      <c r="X27" s="82">
        <f>ROUND((ROUND((ROUND((_11_A通院２１．０*_11・基礎２),0)*_11・２人),0)*(1+_11・A深夜)),0)+ROUND((ROUND((_11_B通院２１．０＿０．５*_11・基礎２),0)*_11・２人),0)</f>
        <v>336</v>
      </c>
      <c r="Y27" s="111"/>
    </row>
    <row r="28" spans="1:25" ht="16.5" customHeight="1" x14ac:dyDescent="0.2">
      <c r="A28" s="71"/>
      <c r="B28" s="71"/>
      <c r="C28" s="72"/>
      <c r="M28" s="73"/>
      <c r="X28" s="74"/>
      <c r="Y28" s="75"/>
    </row>
    <row r="29" spans="1:25" ht="16.5" customHeight="1" x14ac:dyDescent="0.2">
      <c r="A29" s="71"/>
      <c r="B29" s="71"/>
      <c r="C29" s="72"/>
      <c r="M29" s="73"/>
      <c r="X29" s="74"/>
      <c r="Y29" s="75"/>
    </row>
    <row r="30" spans="1:25" ht="16.5" customHeight="1" x14ac:dyDescent="0.2">
      <c r="A30" s="71"/>
      <c r="B30" s="76" t="s">
        <v>1703</v>
      </c>
      <c r="C30" s="72"/>
      <c r="D30" s="65"/>
      <c r="M30" s="73"/>
      <c r="X30" s="74"/>
      <c r="Y30" s="75"/>
    </row>
    <row r="31" spans="1:25" ht="16.5" customHeight="1" x14ac:dyDescent="0.2">
      <c r="A31" s="77" t="s">
        <v>386</v>
      </c>
      <c r="B31" s="32"/>
      <c r="C31" s="78" t="s">
        <v>387</v>
      </c>
      <c r="D31" s="34" t="s">
        <v>388</v>
      </c>
      <c r="E31" s="34"/>
      <c r="F31" s="34"/>
      <c r="G31" s="34"/>
      <c r="H31" s="34"/>
      <c r="I31" s="34"/>
      <c r="J31" s="34"/>
      <c r="K31" s="34"/>
      <c r="L31" s="35"/>
      <c r="M31" s="146"/>
      <c r="N31" s="34"/>
      <c r="O31" s="35"/>
      <c r="P31" s="34"/>
      <c r="Q31" s="34"/>
      <c r="R31" s="35"/>
      <c r="S31" s="34"/>
      <c r="T31" s="34"/>
      <c r="U31" s="35"/>
      <c r="V31" s="34"/>
      <c r="W31" s="35"/>
      <c r="X31" s="36" t="s">
        <v>389</v>
      </c>
      <c r="Y31" s="33" t="s">
        <v>390</v>
      </c>
    </row>
    <row r="32" spans="1:25" ht="16.5" customHeight="1" x14ac:dyDescent="0.2">
      <c r="A32" s="37" t="s">
        <v>391</v>
      </c>
      <c r="B32" s="37" t="s">
        <v>392</v>
      </c>
      <c r="C32" s="79"/>
      <c r="D32" s="40"/>
      <c r="E32" s="40"/>
      <c r="F32" s="77" t="s">
        <v>403</v>
      </c>
      <c r="G32" s="113"/>
      <c r="H32" s="77" t="s">
        <v>404</v>
      </c>
      <c r="I32" s="32"/>
      <c r="J32" s="40"/>
      <c r="K32" s="40"/>
      <c r="L32" s="41"/>
      <c r="M32" s="147"/>
      <c r="N32" s="40"/>
      <c r="O32" s="41"/>
      <c r="P32" s="40"/>
      <c r="Q32" s="40"/>
      <c r="R32" s="41"/>
      <c r="S32" s="40"/>
      <c r="T32" s="40"/>
      <c r="U32" s="41"/>
      <c r="V32" s="40"/>
      <c r="W32" s="41"/>
      <c r="X32" s="42" t="s">
        <v>393</v>
      </c>
      <c r="Y32" s="43" t="s">
        <v>394</v>
      </c>
    </row>
    <row r="33" spans="1:25" ht="16.5" customHeight="1" x14ac:dyDescent="0.2">
      <c r="A33" s="44">
        <v>16</v>
      </c>
      <c r="B33" s="44">
        <v>7379</v>
      </c>
      <c r="C33" s="45" t="s">
        <v>1721</v>
      </c>
      <c r="D33" s="243" t="s">
        <v>1923</v>
      </c>
      <c r="E33" s="272"/>
      <c r="F33" s="243" t="s">
        <v>1980</v>
      </c>
      <c r="G33" s="272"/>
      <c r="H33" s="243" t="s">
        <v>1986</v>
      </c>
      <c r="I33" s="272"/>
      <c r="J33" s="62"/>
      <c r="K33" s="60"/>
      <c r="L33" s="61"/>
      <c r="M33" s="145"/>
      <c r="N33" s="56"/>
      <c r="O33" s="57"/>
      <c r="P33" s="87" t="s">
        <v>408</v>
      </c>
      <c r="Q33" s="60"/>
      <c r="R33" s="136"/>
      <c r="S33" s="89" t="s">
        <v>409</v>
      </c>
      <c r="T33" s="60"/>
      <c r="U33" s="136"/>
      <c r="V33" s="62"/>
      <c r="W33" s="136"/>
      <c r="X33" s="82">
        <f>_11_A通院２０．５+ROUND((_11_B通院２０．５＿０．５*(1+_11・B夜間)),0)+ROUND((_11_C通院２０．５＿０．５＿０．５*(1+_11・C深夜)),0)</f>
        <v>337</v>
      </c>
      <c r="Y33" s="101" t="s">
        <v>395</v>
      </c>
    </row>
    <row r="34" spans="1:25" ht="16.5" customHeight="1" x14ac:dyDescent="0.2">
      <c r="A34" s="44">
        <v>16</v>
      </c>
      <c r="B34" s="53">
        <v>7380</v>
      </c>
      <c r="C34" s="69" t="s">
        <v>1722</v>
      </c>
      <c r="D34" s="273"/>
      <c r="E34" s="274"/>
      <c r="F34" s="273"/>
      <c r="G34" s="274"/>
      <c r="H34" s="273"/>
      <c r="I34" s="274"/>
      <c r="J34" s="54"/>
      <c r="K34" s="49"/>
      <c r="L34" s="50"/>
      <c r="M34" s="144" t="s">
        <v>396</v>
      </c>
      <c r="N34" s="131" t="s">
        <v>397</v>
      </c>
      <c r="O34" s="57">
        <v>1</v>
      </c>
      <c r="P34" s="139" t="s">
        <v>397</v>
      </c>
      <c r="Q34" s="176">
        <v>0.25</v>
      </c>
      <c r="R34" s="286" t="s">
        <v>400</v>
      </c>
      <c r="S34" s="139" t="s">
        <v>397</v>
      </c>
      <c r="T34" s="176">
        <v>0.5</v>
      </c>
      <c r="U34" s="246" t="s">
        <v>400</v>
      </c>
      <c r="V34" s="47"/>
      <c r="W34" s="133"/>
      <c r="X34" s="82">
        <f>ROUND((_11_A通院２０．５*_11・２人),0)+ROUND((ROUND((_11_B通院２０．５＿０．５*_11・２人),0)*(1+_11・B夜間)),0)+ROUND((ROUND((_11_C通院２０．５＿０．５＿０．５*_11・２人),0)*(1+_11・C深夜)),0)</f>
        <v>337</v>
      </c>
      <c r="Y34" s="59"/>
    </row>
    <row r="35" spans="1:25" ht="16.5" customHeight="1" x14ac:dyDescent="0.2">
      <c r="A35" s="44">
        <v>16</v>
      </c>
      <c r="B35" s="53">
        <v>7381</v>
      </c>
      <c r="C35" s="69" t="s">
        <v>1723</v>
      </c>
      <c r="D35" s="273"/>
      <c r="E35" s="274"/>
      <c r="F35" s="273"/>
      <c r="G35" s="274"/>
      <c r="H35" s="273"/>
      <c r="I35" s="274"/>
      <c r="J35" s="241" t="s">
        <v>398</v>
      </c>
      <c r="K35" s="132" t="s">
        <v>397</v>
      </c>
      <c r="L35" s="61">
        <v>0.9</v>
      </c>
      <c r="M35" s="145"/>
      <c r="N35" s="56"/>
      <c r="O35" s="57"/>
      <c r="P35" s="47"/>
      <c r="Q35" s="175"/>
      <c r="R35" s="286"/>
      <c r="S35" s="47"/>
      <c r="T35" s="175"/>
      <c r="U35" s="274"/>
      <c r="V35" s="47"/>
      <c r="W35" s="133"/>
      <c r="X35" s="82">
        <f>ROUND((_11_A通院２０．５*_11・基礎２),0)+ROUND((ROUND((_11_B通院２０．５＿０．５*_11・基礎２),0)*(1+_11・B夜間)),0)+ROUND((ROUND((_11_C通院２０．５＿０．５＿０．５*_11・基礎２),0)*(1+_11・C深夜)),0)</f>
        <v>303</v>
      </c>
      <c r="Y35" s="59"/>
    </row>
    <row r="36" spans="1:25" ht="16.5" customHeight="1" x14ac:dyDescent="0.2">
      <c r="A36" s="44">
        <v>16</v>
      </c>
      <c r="B36" s="53">
        <v>7382</v>
      </c>
      <c r="C36" s="69" t="s">
        <v>1724</v>
      </c>
      <c r="D36" s="143">
        <f>_11_A通院２０．５</f>
        <v>106</v>
      </c>
      <c r="E36" s="141" t="s">
        <v>394</v>
      </c>
      <c r="F36" s="143">
        <f>_11_B通院２０．５＿０．５</f>
        <v>91</v>
      </c>
      <c r="G36" s="141" t="s">
        <v>394</v>
      </c>
      <c r="H36" s="143">
        <f>_11_C通院２０．５＿０．５＿０．５</f>
        <v>78</v>
      </c>
      <c r="I36" s="141" t="s">
        <v>394</v>
      </c>
      <c r="J36" s="242"/>
      <c r="K36" s="49"/>
      <c r="L36" s="50"/>
      <c r="M36" s="144" t="s">
        <v>396</v>
      </c>
      <c r="N36" s="131" t="s">
        <v>397</v>
      </c>
      <c r="O36" s="57">
        <v>1</v>
      </c>
      <c r="P36" s="54"/>
      <c r="Q36" s="49"/>
      <c r="R36" s="135"/>
      <c r="S36" s="54"/>
      <c r="T36" s="49"/>
      <c r="U36" s="135"/>
      <c r="V36" s="54"/>
      <c r="W36" s="135"/>
      <c r="X36" s="82">
        <f>ROUND((ROUND((_11_A通院２０．５*_11・基礎２),0)*_11・２人),0)+ROUND((ROUND((ROUND((_11_B通院２０．５＿０．５*_11・基礎２),0)*_11・２人),0)*(1+_11・B夜間)),0)+ROUND((ROUND((ROUND((_11_C通院２０．５＿０．５＿０．５*_11・基礎２),0)*_11・２人),0)*(1+_11・C深夜)),0)</f>
        <v>303</v>
      </c>
      <c r="Y36" s="111"/>
    </row>
    <row r="37" spans="1:25" ht="16.5" customHeight="1" x14ac:dyDescent="0.2"/>
    <row r="38" spans="1:25" ht="16.5" customHeight="1" x14ac:dyDescent="0.2"/>
  </sheetData>
  <mergeCells count="21">
    <mergeCell ref="D7:E9"/>
    <mergeCell ref="F7:G9"/>
    <mergeCell ref="H7:I9"/>
    <mergeCell ref="R8:R9"/>
    <mergeCell ref="U8:U9"/>
    <mergeCell ref="J9:J10"/>
    <mergeCell ref="R34:R35"/>
    <mergeCell ref="U34:U35"/>
    <mergeCell ref="F20:G22"/>
    <mergeCell ref="J22:J23"/>
    <mergeCell ref="D16:E18"/>
    <mergeCell ref="F16:G18"/>
    <mergeCell ref="R17:R18"/>
    <mergeCell ref="J18:J19"/>
    <mergeCell ref="J35:J36"/>
    <mergeCell ref="D24:E26"/>
    <mergeCell ref="F24:G26"/>
    <mergeCell ref="J26:J27"/>
    <mergeCell ref="D33:E35"/>
    <mergeCell ref="F33:G35"/>
    <mergeCell ref="H33:I35"/>
  </mergeCells>
  <phoneticPr fontId="1"/>
  <printOptions horizontalCentered="1"/>
  <pageMargins left="0.70866141732283505" right="0.70866141732283505" top="0.74803149606299202" bottom="0.74803149606299202" header="0.31496062992126" footer="0.31496062992126"/>
  <pageSetup paperSize="9" scale="46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92"/>
  <sheetViews>
    <sheetView workbookViewId="0"/>
  </sheetViews>
  <sheetFormatPr defaultColWidth="8.90625" defaultRowHeight="14" x14ac:dyDescent="0.2"/>
  <cols>
    <col min="1" max="1" width="4.6328125" style="22" customWidth="1"/>
    <col min="2" max="2" width="7.6328125" style="22" customWidth="1"/>
    <col min="3" max="3" width="37.453125" style="23" customWidth="1"/>
    <col min="4" max="4" width="4.90625" style="23" customWidth="1"/>
    <col min="5" max="5" width="4.90625" style="25" customWidth="1"/>
    <col min="6" max="6" width="12" style="25" customWidth="1"/>
    <col min="7" max="7" width="2.453125" style="25" customWidth="1"/>
    <col min="8" max="8" width="4.453125" style="26" bestFit="1" customWidth="1"/>
    <col min="9" max="9" width="26" style="25" customWidth="1"/>
    <col min="10" max="10" width="2.453125" style="25" customWidth="1"/>
    <col min="11" max="11" width="5.453125" style="26" bestFit="1" customWidth="1"/>
    <col min="12" max="12" width="7.08984375" style="28" customWidth="1"/>
    <col min="13" max="13" width="8.6328125" style="29" customWidth="1"/>
    <col min="14" max="16384" width="8.90625" style="25"/>
  </cols>
  <sheetData>
    <row r="1" spans="1:13" ht="17.149999999999999" customHeight="1" x14ac:dyDescent="0.2"/>
    <row r="2" spans="1:13" ht="17.149999999999999" customHeight="1" x14ac:dyDescent="0.2"/>
    <row r="3" spans="1:13" ht="17.149999999999999" customHeight="1" x14ac:dyDescent="0.2"/>
    <row r="4" spans="1:13" ht="17.149999999999999" customHeight="1" x14ac:dyDescent="0.2">
      <c r="B4" s="30" t="s">
        <v>1704</v>
      </c>
      <c r="D4" s="65"/>
    </row>
    <row r="5" spans="1:13" ht="16.5" customHeight="1" x14ac:dyDescent="0.2">
      <c r="A5" s="31" t="s">
        <v>386</v>
      </c>
      <c r="B5" s="32"/>
      <c r="C5" s="33" t="s">
        <v>387</v>
      </c>
      <c r="D5" s="34" t="s">
        <v>388</v>
      </c>
      <c r="E5" s="34"/>
      <c r="F5" s="34"/>
      <c r="G5" s="34"/>
      <c r="H5" s="35"/>
      <c r="I5" s="34"/>
      <c r="J5" s="34"/>
      <c r="K5" s="35"/>
      <c r="L5" s="36" t="s">
        <v>389</v>
      </c>
      <c r="M5" s="33" t="s">
        <v>390</v>
      </c>
    </row>
    <row r="6" spans="1:13" ht="16.5" customHeight="1" x14ac:dyDescent="0.2">
      <c r="A6" s="37" t="s">
        <v>391</v>
      </c>
      <c r="B6" s="37" t="s">
        <v>392</v>
      </c>
      <c r="C6" s="38"/>
      <c r="D6" s="40"/>
      <c r="E6" s="40"/>
      <c r="F6" s="40"/>
      <c r="G6" s="40"/>
      <c r="H6" s="41"/>
      <c r="I6" s="40"/>
      <c r="J6" s="40"/>
      <c r="K6" s="41"/>
      <c r="L6" s="42" t="s">
        <v>393</v>
      </c>
      <c r="M6" s="43" t="s">
        <v>394</v>
      </c>
    </row>
    <row r="7" spans="1:13" ht="16.5" customHeight="1" x14ac:dyDescent="0.2">
      <c r="A7" s="44">
        <v>16</v>
      </c>
      <c r="B7" s="44">
        <v>7383</v>
      </c>
      <c r="C7" s="45" t="s">
        <v>1725</v>
      </c>
      <c r="D7" s="245" t="s">
        <v>1923</v>
      </c>
      <c r="E7" s="274"/>
      <c r="F7" s="47"/>
      <c r="I7" s="54"/>
      <c r="J7" s="49"/>
      <c r="K7" s="50"/>
      <c r="L7" s="51">
        <f>_11_A通院２増０．５</f>
        <v>69</v>
      </c>
      <c r="M7" s="52" t="s">
        <v>395</v>
      </c>
    </row>
    <row r="8" spans="1:13" ht="16.5" customHeight="1" x14ac:dyDescent="0.2">
      <c r="A8" s="44">
        <v>16</v>
      </c>
      <c r="B8" s="53">
        <v>7384</v>
      </c>
      <c r="C8" s="69" t="s">
        <v>1726</v>
      </c>
      <c r="D8" s="273"/>
      <c r="E8" s="274"/>
      <c r="F8" s="54"/>
      <c r="G8" s="49"/>
      <c r="H8" s="50"/>
      <c r="I8" s="144" t="s">
        <v>396</v>
      </c>
      <c r="J8" s="131" t="s">
        <v>397</v>
      </c>
      <c r="K8" s="57">
        <v>1</v>
      </c>
      <c r="L8" s="58">
        <f>ROUND((_11_A通院２増０．５*_11・２人),0)</f>
        <v>69</v>
      </c>
      <c r="M8" s="59"/>
    </row>
    <row r="9" spans="1:13" ht="16.5" customHeight="1" x14ac:dyDescent="0.2">
      <c r="A9" s="44">
        <v>16</v>
      </c>
      <c r="B9" s="53">
        <v>7385</v>
      </c>
      <c r="C9" s="69" t="s">
        <v>1727</v>
      </c>
      <c r="D9" s="273"/>
      <c r="E9" s="274"/>
      <c r="F9" s="241" t="s">
        <v>398</v>
      </c>
      <c r="G9" s="132" t="s">
        <v>397</v>
      </c>
      <c r="H9" s="61">
        <v>0.9</v>
      </c>
      <c r="I9" s="109"/>
      <c r="J9" s="56"/>
      <c r="K9" s="57"/>
      <c r="L9" s="58">
        <f>ROUND((_11_A通院２増０．５*_11・基礎２),0)</f>
        <v>62</v>
      </c>
      <c r="M9" s="59"/>
    </row>
    <row r="10" spans="1:13" ht="16.5" customHeight="1" x14ac:dyDescent="0.2">
      <c r="A10" s="44">
        <v>16</v>
      </c>
      <c r="B10" s="53">
        <v>7386</v>
      </c>
      <c r="C10" s="69" t="s">
        <v>1728</v>
      </c>
      <c r="D10" s="142">
        <f>_11_A通院２増０．５</f>
        <v>69</v>
      </c>
      <c r="E10" s="23" t="s">
        <v>394</v>
      </c>
      <c r="F10" s="242"/>
      <c r="G10" s="49"/>
      <c r="H10" s="50"/>
      <c r="I10" s="144" t="s">
        <v>396</v>
      </c>
      <c r="J10" s="131" t="s">
        <v>397</v>
      </c>
      <c r="K10" s="57">
        <v>1</v>
      </c>
      <c r="L10" s="58">
        <f>ROUND((ROUND((_11_A通院２増０．５*_11・基礎２),0)*_11・２人),0)</f>
        <v>62</v>
      </c>
      <c r="M10" s="59"/>
    </row>
    <row r="11" spans="1:13" ht="16.5" customHeight="1" x14ac:dyDescent="0.2">
      <c r="A11" s="44">
        <v>16</v>
      </c>
      <c r="B11" s="53">
        <v>7387</v>
      </c>
      <c r="C11" s="69" t="s">
        <v>1729</v>
      </c>
      <c r="D11" s="243" t="s">
        <v>1922</v>
      </c>
      <c r="E11" s="272"/>
      <c r="F11" s="62"/>
      <c r="G11" s="60"/>
      <c r="H11" s="61"/>
      <c r="I11" s="109"/>
      <c r="J11" s="56"/>
      <c r="K11" s="57"/>
      <c r="L11" s="58">
        <f>_11_A通院２増１．０</f>
        <v>138</v>
      </c>
      <c r="M11" s="59"/>
    </row>
    <row r="12" spans="1:13" ht="16.5" customHeight="1" x14ac:dyDescent="0.2">
      <c r="A12" s="44">
        <v>16</v>
      </c>
      <c r="B12" s="53">
        <v>7388</v>
      </c>
      <c r="C12" s="69" t="s">
        <v>1730</v>
      </c>
      <c r="D12" s="273"/>
      <c r="E12" s="274"/>
      <c r="F12" s="54"/>
      <c r="G12" s="49"/>
      <c r="H12" s="50"/>
      <c r="I12" s="144" t="s">
        <v>396</v>
      </c>
      <c r="J12" s="131" t="s">
        <v>397</v>
      </c>
      <c r="K12" s="57">
        <v>1</v>
      </c>
      <c r="L12" s="58">
        <f>ROUND((_11_A通院２増１．０*_11・２人),0)</f>
        <v>138</v>
      </c>
      <c r="M12" s="59"/>
    </row>
    <row r="13" spans="1:13" ht="16.5" customHeight="1" x14ac:dyDescent="0.2">
      <c r="A13" s="44">
        <v>16</v>
      </c>
      <c r="B13" s="53">
        <v>7389</v>
      </c>
      <c r="C13" s="69" t="s">
        <v>1731</v>
      </c>
      <c r="D13" s="273"/>
      <c r="E13" s="274"/>
      <c r="F13" s="241" t="s">
        <v>398</v>
      </c>
      <c r="G13" s="132" t="s">
        <v>397</v>
      </c>
      <c r="H13" s="61">
        <v>0.9</v>
      </c>
      <c r="I13" s="109"/>
      <c r="J13" s="56"/>
      <c r="K13" s="57"/>
      <c r="L13" s="58">
        <f>ROUND((_11_A通院２増１．０*_11・基礎２),0)</f>
        <v>124</v>
      </c>
      <c r="M13" s="59"/>
    </row>
    <row r="14" spans="1:13" ht="16.5" customHeight="1" x14ac:dyDescent="0.2">
      <c r="A14" s="44">
        <v>16</v>
      </c>
      <c r="B14" s="53">
        <v>7390</v>
      </c>
      <c r="C14" s="69" t="s">
        <v>1732</v>
      </c>
      <c r="D14" s="142">
        <f>_11_A通院２増１．０</f>
        <v>138</v>
      </c>
      <c r="E14" s="23" t="s">
        <v>394</v>
      </c>
      <c r="F14" s="242"/>
      <c r="G14" s="49"/>
      <c r="H14" s="50"/>
      <c r="I14" s="144" t="s">
        <v>396</v>
      </c>
      <c r="J14" s="131" t="s">
        <v>397</v>
      </c>
      <c r="K14" s="57">
        <v>1</v>
      </c>
      <c r="L14" s="58">
        <f>ROUND((ROUND((_11_A通院２増１．０*_11・基礎２),0)*_11・２人),0)</f>
        <v>124</v>
      </c>
      <c r="M14" s="59"/>
    </row>
    <row r="15" spans="1:13" ht="16.5" customHeight="1" x14ac:dyDescent="0.2">
      <c r="A15" s="44">
        <v>16</v>
      </c>
      <c r="B15" s="53">
        <v>7391</v>
      </c>
      <c r="C15" s="69" t="s">
        <v>1733</v>
      </c>
      <c r="D15" s="243" t="s">
        <v>1924</v>
      </c>
      <c r="E15" s="272"/>
      <c r="F15" s="62"/>
      <c r="G15" s="60"/>
      <c r="H15" s="61"/>
      <c r="I15" s="109"/>
      <c r="J15" s="56"/>
      <c r="K15" s="57"/>
      <c r="L15" s="58">
        <f>_11_A通院２増１．５</f>
        <v>207</v>
      </c>
      <c r="M15" s="59"/>
    </row>
    <row r="16" spans="1:13" ht="16.5" customHeight="1" x14ac:dyDescent="0.2">
      <c r="A16" s="44">
        <v>16</v>
      </c>
      <c r="B16" s="53">
        <v>7392</v>
      </c>
      <c r="C16" s="69" t="s">
        <v>1734</v>
      </c>
      <c r="D16" s="273"/>
      <c r="E16" s="274"/>
      <c r="F16" s="54"/>
      <c r="G16" s="49"/>
      <c r="H16" s="50"/>
      <c r="I16" s="144" t="s">
        <v>396</v>
      </c>
      <c r="J16" s="131" t="s">
        <v>397</v>
      </c>
      <c r="K16" s="57">
        <v>1</v>
      </c>
      <c r="L16" s="58">
        <f>ROUND((_11_A通院２増１．５*_11・２人),0)</f>
        <v>207</v>
      </c>
      <c r="M16" s="59"/>
    </row>
    <row r="17" spans="1:13" ht="16.5" customHeight="1" x14ac:dyDescent="0.2">
      <c r="A17" s="44">
        <v>16</v>
      </c>
      <c r="B17" s="53">
        <v>7393</v>
      </c>
      <c r="C17" s="69" t="s">
        <v>1735</v>
      </c>
      <c r="D17" s="273"/>
      <c r="E17" s="274"/>
      <c r="F17" s="241" t="s">
        <v>398</v>
      </c>
      <c r="G17" s="132" t="s">
        <v>397</v>
      </c>
      <c r="H17" s="61">
        <v>0.9</v>
      </c>
      <c r="I17" s="109"/>
      <c r="J17" s="56"/>
      <c r="K17" s="57"/>
      <c r="L17" s="58">
        <f>ROUND((_11_A通院２増１．５*_11・基礎２),0)</f>
        <v>186</v>
      </c>
      <c r="M17" s="59"/>
    </row>
    <row r="18" spans="1:13" ht="16.5" customHeight="1" x14ac:dyDescent="0.2">
      <c r="A18" s="44">
        <v>16</v>
      </c>
      <c r="B18" s="53">
        <v>7394</v>
      </c>
      <c r="C18" s="69" t="s">
        <v>1736</v>
      </c>
      <c r="D18" s="142">
        <f>_11_A通院２増１．５</f>
        <v>207</v>
      </c>
      <c r="E18" s="23" t="s">
        <v>394</v>
      </c>
      <c r="F18" s="242"/>
      <c r="G18" s="49"/>
      <c r="H18" s="50"/>
      <c r="I18" s="144" t="s">
        <v>396</v>
      </c>
      <c r="J18" s="131" t="s">
        <v>397</v>
      </c>
      <c r="K18" s="57">
        <v>1</v>
      </c>
      <c r="L18" s="58">
        <f>ROUND((ROUND((_11_A通院２増１．５*_11・基礎２),0)*_11・２人),0)</f>
        <v>186</v>
      </c>
      <c r="M18" s="59"/>
    </row>
    <row r="19" spans="1:13" ht="16.5" customHeight="1" x14ac:dyDescent="0.2">
      <c r="A19" s="44">
        <v>16</v>
      </c>
      <c r="B19" s="53">
        <v>7395</v>
      </c>
      <c r="C19" s="69" t="s">
        <v>1737</v>
      </c>
      <c r="D19" s="243" t="s">
        <v>1925</v>
      </c>
      <c r="E19" s="272"/>
      <c r="F19" s="62"/>
      <c r="G19" s="60"/>
      <c r="H19" s="61"/>
      <c r="I19" s="109"/>
      <c r="J19" s="56"/>
      <c r="K19" s="57"/>
      <c r="L19" s="58">
        <f>_11_A通院２増２．０</f>
        <v>276</v>
      </c>
      <c r="M19" s="59"/>
    </row>
    <row r="20" spans="1:13" ht="16.5" customHeight="1" x14ac:dyDescent="0.2">
      <c r="A20" s="44">
        <v>16</v>
      </c>
      <c r="B20" s="53">
        <v>7396</v>
      </c>
      <c r="C20" s="69" t="s">
        <v>1738</v>
      </c>
      <c r="D20" s="273"/>
      <c r="E20" s="274"/>
      <c r="F20" s="54"/>
      <c r="G20" s="49"/>
      <c r="H20" s="50"/>
      <c r="I20" s="144" t="s">
        <v>396</v>
      </c>
      <c r="J20" s="131" t="s">
        <v>397</v>
      </c>
      <c r="K20" s="57">
        <v>1</v>
      </c>
      <c r="L20" s="58">
        <f>ROUND((_11_A通院２増２．０*_11・２人),0)</f>
        <v>276</v>
      </c>
      <c r="M20" s="59"/>
    </row>
    <row r="21" spans="1:13" ht="16.5" customHeight="1" x14ac:dyDescent="0.2">
      <c r="A21" s="44">
        <v>16</v>
      </c>
      <c r="B21" s="53">
        <v>7397</v>
      </c>
      <c r="C21" s="69" t="s">
        <v>1739</v>
      </c>
      <c r="D21" s="273"/>
      <c r="E21" s="274"/>
      <c r="F21" s="241" t="s">
        <v>398</v>
      </c>
      <c r="G21" s="132" t="s">
        <v>397</v>
      </c>
      <c r="H21" s="61">
        <v>0.9</v>
      </c>
      <c r="I21" s="109"/>
      <c r="J21" s="56"/>
      <c r="K21" s="57"/>
      <c r="L21" s="58">
        <f>ROUND((_11_A通院２増２．０*_11・基礎２),0)</f>
        <v>248</v>
      </c>
      <c r="M21" s="59"/>
    </row>
    <row r="22" spans="1:13" ht="16.5" customHeight="1" x14ac:dyDescent="0.2">
      <c r="A22" s="44">
        <v>16</v>
      </c>
      <c r="B22" s="53">
        <v>7398</v>
      </c>
      <c r="C22" s="69" t="s">
        <v>1740</v>
      </c>
      <c r="D22" s="142">
        <f>_11_A通院２増２．０</f>
        <v>276</v>
      </c>
      <c r="E22" s="23" t="s">
        <v>394</v>
      </c>
      <c r="F22" s="242"/>
      <c r="G22" s="49"/>
      <c r="H22" s="50"/>
      <c r="I22" s="144" t="s">
        <v>396</v>
      </c>
      <c r="J22" s="131" t="s">
        <v>397</v>
      </c>
      <c r="K22" s="57">
        <v>1</v>
      </c>
      <c r="L22" s="58">
        <f>ROUND((ROUND((_11_A通院２増２．０*_11・基礎２),0)*_11・２人),0)</f>
        <v>248</v>
      </c>
      <c r="M22" s="59"/>
    </row>
    <row r="23" spans="1:13" ht="16.5" customHeight="1" x14ac:dyDescent="0.2">
      <c r="A23" s="44">
        <v>16</v>
      </c>
      <c r="B23" s="53">
        <v>7399</v>
      </c>
      <c r="C23" s="69" t="s">
        <v>1741</v>
      </c>
      <c r="D23" s="243" t="s">
        <v>1926</v>
      </c>
      <c r="E23" s="272"/>
      <c r="F23" s="62"/>
      <c r="G23" s="60"/>
      <c r="H23" s="61"/>
      <c r="I23" s="109"/>
      <c r="J23" s="56"/>
      <c r="K23" s="57"/>
      <c r="L23" s="58">
        <f>_11_A通院２増２．５</f>
        <v>345</v>
      </c>
      <c r="M23" s="59"/>
    </row>
    <row r="24" spans="1:13" ht="16.5" customHeight="1" x14ac:dyDescent="0.2">
      <c r="A24" s="44">
        <v>16</v>
      </c>
      <c r="B24" s="53">
        <v>7400</v>
      </c>
      <c r="C24" s="69" t="s">
        <v>1742</v>
      </c>
      <c r="D24" s="273"/>
      <c r="E24" s="274"/>
      <c r="F24" s="54"/>
      <c r="G24" s="49"/>
      <c r="H24" s="50"/>
      <c r="I24" s="144" t="s">
        <v>396</v>
      </c>
      <c r="J24" s="131" t="s">
        <v>397</v>
      </c>
      <c r="K24" s="57">
        <v>1</v>
      </c>
      <c r="L24" s="58">
        <f>ROUND((_11_A通院２増２．５*_11・２人),0)</f>
        <v>345</v>
      </c>
      <c r="M24" s="59"/>
    </row>
    <row r="25" spans="1:13" ht="16.5" customHeight="1" x14ac:dyDescent="0.2">
      <c r="A25" s="44">
        <v>16</v>
      </c>
      <c r="B25" s="53">
        <v>7401</v>
      </c>
      <c r="C25" s="69" t="s">
        <v>1743</v>
      </c>
      <c r="D25" s="273"/>
      <c r="E25" s="274"/>
      <c r="F25" s="241" t="s">
        <v>398</v>
      </c>
      <c r="G25" s="132" t="s">
        <v>397</v>
      </c>
      <c r="H25" s="61">
        <v>0.9</v>
      </c>
      <c r="I25" s="109"/>
      <c r="J25" s="56"/>
      <c r="K25" s="57"/>
      <c r="L25" s="58">
        <f>ROUND((_11_A通院２増２．５*_11・基礎２),0)</f>
        <v>311</v>
      </c>
      <c r="M25" s="59"/>
    </row>
    <row r="26" spans="1:13" ht="16.5" customHeight="1" x14ac:dyDescent="0.2">
      <c r="A26" s="44">
        <v>16</v>
      </c>
      <c r="B26" s="53">
        <v>7402</v>
      </c>
      <c r="C26" s="69" t="s">
        <v>1744</v>
      </c>
      <c r="D26" s="142">
        <f>_11_A通院２増２．５</f>
        <v>345</v>
      </c>
      <c r="E26" s="23" t="s">
        <v>394</v>
      </c>
      <c r="F26" s="242"/>
      <c r="G26" s="49"/>
      <c r="H26" s="50"/>
      <c r="I26" s="144" t="s">
        <v>396</v>
      </c>
      <c r="J26" s="131" t="s">
        <v>397</v>
      </c>
      <c r="K26" s="57">
        <v>1</v>
      </c>
      <c r="L26" s="58">
        <f>ROUND((ROUND((_11_A通院２増２．５*_11・基礎２),0)*_11・２人),0)</f>
        <v>311</v>
      </c>
      <c r="M26" s="59"/>
    </row>
    <row r="27" spans="1:13" ht="16.5" customHeight="1" x14ac:dyDescent="0.2">
      <c r="A27" s="44">
        <v>16</v>
      </c>
      <c r="B27" s="53">
        <v>7403</v>
      </c>
      <c r="C27" s="69" t="s">
        <v>1745</v>
      </c>
      <c r="D27" s="243" t="s">
        <v>1927</v>
      </c>
      <c r="E27" s="272"/>
      <c r="F27" s="62"/>
      <c r="G27" s="60"/>
      <c r="H27" s="61"/>
      <c r="I27" s="109"/>
      <c r="J27" s="56"/>
      <c r="K27" s="57"/>
      <c r="L27" s="58">
        <f>_11_A通院２増３．０</f>
        <v>414</v>
      </c>
      <c r="M27" s="59"/>
    </row>
    <row r="28" spans="1:13" ht="16.5" customHeight="1" x14ac:dyDescent="0.2">
      <c r="A28" s="44">
        <v>16</v>
      </c>
      <c r="B28" s="53">
        <v>7404</v>
      </c>
      <c r="C28" s="69" t="s">
        <v>1746</v>
      </c>
      <c r="D28" s="273"/>
      <c r="E28" s="274"/>
      <c r="F28" s="54"/>
      <c r="G28" s="49"/>
      <c r="H28" s="50"/>
      <c r="I28" s="144" t="s">
        <v>396</v>
      </c>
      <c r="J28" s="131" t="s">
        <v>397</v>
      </c>
      <c r="K28" s="57">
        <v>1</v>
      </c>
      <c r="L28" s="58">
        <f>ROUND((_11_A通院２増３．０*_11・２人),0)</f>
        <v>414</v>
      </c>
      <c r="M28" s="59"/>
    </row>
    <row r="29" spans="1:13" ht="16.5" customHeight="1" x14ac:dyDescent="0.2">
      <c r="A29" s="44">
        <v>16</v>
      </c>
      <c r="B29" s="53">
        <v>7405</v>
      </c>
      <c r="C29" s="69" t="s">
        <v>1747</v>
      </c>
      <c r="D29" s="273"/>
      <c r="E29" s="274"/>
      <c r="F29" s="241" t="s">
        <v>398</v>
      </c>
      <c r="G29" s="132" t="s">
        <v>397</v>
      </c>
      <c r="H29" s="61">
        <v>0.9</v>
      </c>
      <c r="I29" s="109"/>
      <c r="J29" s="56"/>
      <c r="K29" s="57"/>
      <c r="L29" s="58">
        <f>ROUND((_11_A通院２増３．０*_11・基礎２),0)</f>
        <v>373</v>
      </c>
      <c r="M29" s="59"/>
    </row>
    <row r="30" spans="1:13" ht="16.5" customHeight="1" x14ac:dyDescent="0.2">
      <c r="A30" s="44">
        <v>16</v>
      </c>
      <c r="B30" s="53">
        <v>7406</v>
      </c>
      <c r="C30" s="69" t="s">
        <v>1748</v>
      </c>
      <c r="D30" s="142">
        <f>_11_A通院２増３．０</f>
        <v>414</v>
      </c>
      <c r="E30" s="23" t="s">
        <v>394</v>
      </c>
      <c r="F30" s="242"/>
      <c r="G30" s="49"/>
      <c r="H30" s="50"/>
      <c r="I30" s="144" t="s">
        <v>396</v>
      </c>
      <c r="J30" s="131" t="s">
        <v>397</v>
      </c>
      <c r="K30" s="57">
        <v>1</v>
      </c>
      <c r="L30" s="58">
        <f>ROUND((ROUND((_11_A通院２増３．０*_11・基礎２),0)*_11・２人),0)</f>
        <v>373</v>
      </c>
      <c r="M30" s="59"/>
    </row>
    <row r="31" spans="1:13" ht="16.5" customHeight="1" x14ac:dyDescent="0.2">
      <c r="A31" s="44">
        <v>16</v>
      </c>
      <c r="B31" s="53">
        <v>7407</v>
      </c>
      <c r="C31" s="69" t="s">
        <v>1749</v>
      </c>
      <c r="D31" s="243" t="s">
        <v>1928</v>
      </c>
      <c r="E31" s="272"/>
      <c r="F31" s="62"/>
      <c r="G31" s="60"/>
      <c r="H31" s="61"/>
      <c r="I31" s="109"/>
      <c r="J31" s="56"/>
      <c r="K31" s="57"/>
      <c r="L31" s="58">
        <f>_11_A通院２増３．５</f>
        <v>483</v>
      </c>
      <c r="M31" s="59"/>
    </row>
    <row r="32" spans="1:13" ht="16.5" customHeight="1" x14ac:dyDescent="0.2">
      <c r="A32" s="44">
        <v>16</v>
      </c>
      <c r="B32" s="53">
        <v>7408</v>
      </c>
      <c r="C32" s="69" t="s">
        <v>1750</v>
      </c>
      <c r="D32" s="273"/>
      <c r="E32" s="274"/>
      <c r="F32" s="54"/>
      <c r="G32" s="49"/>
      <c r="H32" s="50"/>
      <c r="I32" s="144" t="s">
        <v>396</v>
      </c>
      <c r="J32" s="131" t="s">
        <v>397</v>
      </c>
      <c r="K32" s="57">
        <v>1</v>
      </c>
      <c r="L32" s="58">
        <f>ROUND((_11_A通院２増３．５*_11・２人),0)</f>
        <v>483</v>
      </c>
      <c r="M32" s="59"/>
    </row>
    <row r="33" spans="1:13" ht="16.5" customHeight="1" x14ac:dyDescent="0.2">
      <c r="A33" s="44">
        <v>16</v>
      </c>
      <c r="B33" s="53">
        <v>7409</v>
      </c>
      <c r="C33" s="69" t="s">
        <v>1751</v>
      </c>
      <c r="D33" s="273"/>
      <c r="E33" s="274"/>
      <c r="F33" s="241" t="s">
        <v>398</v>
      </c>
      <c r="G33" s="132" t="s">
        <v>397</v>
      </c>
      <c r="H33" s="61">
        <v>0.9</v>
      </c>
      <c r="I33" s="109"/>
      <c r="J33" s="56"/>
      <c r="K33" s="57"/>
      <c r="L33" s="58">
        <f>ROUND((_11_A通院２増３．５*_11・基礎２),0)</f>
        <v>435</v>
      </c>
      <c r="M33" s="59"/>
    </row>
    <row r="34" spans="1:13" ht="16.5" customHeight="1" x14ac:dyDescent="0.2">
      <c r="A34" s="44">
        <v>16</v>
      </c>
      <c r="B34" s="53">
        <v>7410</v>
      </c>
      <c r="C34" s="69" t="s">
        <v>1752</v>
      </c>
      <c r="D34" s="142">
        <f>_11_A通院２増３．５</f>
        <v>483</v>
      </c>
      <c r="E34" s="23" t="s">
        <v>394</v>
      </c>
      <c r="F34" s="242"/>
      <c r="G34" s="49"/>
      <c r="H34" s="50"/>
      <c r="I34" s="144" t="s">
        <v>396</v>
      </c>
      <c r="J34" s="131" t="s">
        <v>397</v>
      </c>
      <c r="K34" s="57">
        <v>1</v>
      </c>
      <c r="L34" s="58">
        <f>ROUND((ROUND((_11_A通院２増３．５*_11・基礎２),0)*_11・２人),0)</f>
        <v>435</v>
      </c>
      <c r="M34" s="59"/>
    </row>
    <row r="35" spans="1:13" ht="16.5" customHeight="1" x14ac:dyDescent="0.2">
      <c r="A35" s="44">
        <v>16</v>
      </c>
      <c r="B35" s="53">
        <v>7411</v>
      </c>
      <c r="C35" s="69" t="s">
        <v>1753</v>
      </c>
      <c r="D35" s="243" t="s">
        <v>1929</v>
      </c>
      <c r="E35" s="272"/>
      <c r="F35" s="62"/>
      <c r="G35" s="60"/>
      <c r="H35" s="61"/>
      <c r="I35" s="109"/>
      <c r="J35" s="56"/>
      <c r="K35" s="57"/>
      <c r="L35" s="58">
        <f>_11_A通院２増４．０</f>
        <v>552</v>
      </c>
      <c r="M35" s="59"/>
    </row>
    <row r="36" spans="1:13" ht="16.5" customHeight="1" x14ac:dyDescent="0.2">
      <c r="A36" s="44">
        <v>16</v>
      </c>
      <c r="B36" s="53">
        <v>7412</v>
      </c>
      <c r="C36" s="69" t="s">
        <v>1754</v>
      </c>
      <c r="D36" s="273"/>
      <c r="E36" s="274"/>
      <c r="F36" s="54"/>
      <c r="G36" s="49"/>
      <c r="H36" s="50"/>
      <c r="I36" s="144" t="s">
        <v>396</v>
      </c>
      <c r="J36" s="131" t="s">
        <v>397</v>
      </c>
      <c r="K36" s="57">
        <v>1</v>
      </c>
      <c r="L36" s="58">
        <f>ROUND((_11_A通院２増４．０*_11・２人),0)</f>
        <v>552</v>
      </c>
      <c r="M36" s="59"/>
    </row>
    <row r="37" spans="1:13" ht="16.5" customHeight="1" x14ac:dyDescent="0.2">
      <c r="A37" s="44">
        <v>16</v>
      </c>
      <c r="B37" s="53">
        <v>7413</v>
      </c>
      <c r="C37" s="69" t="s">
        <v>1755</v>
      </c>
      <c r="D37" s="273"/>
      <c r="E37" s="274"/>
      <c r="F37" s="241" t="s">
        <v>398</v>
      </c>
      <c r="G37" s="132" t="s">
        <v>397</v>
      </c>
      <c r="H37" s="61">
        <v>0.9</v>
      </c>
      <c r="I37" s="109"/>
      <c r="J37" s="56"/>
      <c r="K37" s="57"/>
      <c r="L37" s="58">
        <f>ROUND((_11_A通院２増４．０*_11・基礎２),0)</f>
        <v>497</v>
      </c>
      <c r="M37" s="59"/>
    </row>
    <row r="38" spans="1:13" ht="16.5" customHeight="1" x14ac:dyDescent="0.2">
      <c r="A38" s="44">
        <v>16</v>
      </c>
      <c r="B38" s="53">
        <v>7414</v>
      </c>
      <c r="C38" s="69" t="s">
        <v>1756</v>
      </c>
      <c r="D38" s="142">
        <f>_11_A通院２増４．０</f>
        <v>552</v>
      </c>
      <c r="E38" s="23" t="s">
        <v>394</v>
      </c>
      <c r="F38" s="242"/>
      <c r="G38" s="49"/>
      <c r="H38" s="50"/>
      <c r="I38" s="144" t="s">
        <v>396</v>
      </c>
      <c r="J38" s="131" t="s">
        <v>397</v>
      </c>
      <c r="K38" s="57">
        <v>1</v>
      </c>
      <c r="L38" s="58">
        <f>ROUND((ROUND((_11_A通院２増４．０*_11・基礎２),0)*_11・２人),0)</f>
        <v>497</v>
      </c>
      <c r="M38" s="59"/>
    </row>
    <row r="39" spans="1:13" ht="16.5" customHeight="1" x14ac:dyDescent="0.2">
      <c r="A39" s="44">
        <v>16</v>
      </c>
      <c r="B39" s="53">
        <v>7415</v>
      </c>
      <c r="C39" s="69" t="s">
        <v>1757</v>
      </c>
      <c r="D39" s="243" t="s">
        <v>1930</v>
      </c>
      <c r="E39" s="272"/>
      <c r="F39" s="62"/>
      <c r="G39" s="60"/>
      <c r="H39" s="61"/>
      <c r="I39" s="109"/>
      <c r="J39" s="56"/>
      <c r="K39" s="57"/>
      <c r="L39" s="58">
        <f>_11_A通院２増４．５</f>
        <v>621</v>
      </c>
      <c r="M39" s="59"/>
    </row>
    <row r="40" spans="1:13" ht="16.5" customHeight="1" x14ac:dyDescent="0.2">
      <c r="A40" s="44">
        <v>16</v>
      </c>
      <c r="B40" s="53">
        <v>7416</v>
      </c>
      <c r="C40" s="69" t="s">
        <v>1758</v>
      </c>
      <c r="D40" s="273"/>
      <c r="E40" s="274"/>
      <c r="F40" s="54"/>
      <c r="G40" s="49"/>
      <c r="H40" s="50"/>
      <c r="I40" s="144" t="s">
        <v>396</v>
      </c>
      <c r="J40" s="131" t="s">
        <v>397</v>
      </c>
      <c r="K40" s="57">
        <v>1</v>
      </c>
      <c r="L40" s="58">
        <f>ROUND((_11_A通院２増４．５*_11・２人),0)</f>
        <v>621</v>
      </c>
      <c r="M40" s="59"/>
    </row>
    <row r="41" spans="1:13" ht="16.5" customHeight="1" x14ac:dyDescent="0.2">
      <c r="A41" s="44">
        <v>16</v>
      </c>
      <c r="B41" s="53">
        <v>7417</v>
      </c>
      <c r="C41" s="69" t="s">
        <v>1759</v>
      </c>
      <c r="D41" s="273"/>
      <c r="E41" s="274"/>
      <c r="F41" s="241" t="s">
        <v>398</v>
      </c>
      <c r="G41" s="132" t="s">
        <v>397</v>
      </c>
      <c r="H41" s="61">
        <v>0.9</v>
      </c>
      <c r="I41" s="109"/>
      <c r="J41" s="56"/>
      <c r="K41" s="57"/>
      <c r="L41" s="58">
        <f>ROUND((_11_A通院２増４．５*_11・基礎２),0)</f>
        <v>559</v>
      </c>
      <c r="M41" s="59"/>
    </row>
    <row r="42" spans="1:13" ht="16.5" customHeight="1" x14ac:dyDescent="0.2">
      <c r="A42" s="44">
        <v>16</v>
      </c>
      <c r="B42" s="53">
        <v>7418</v>
      </c>
      <c r="C42" s="69" t="s">
        <v>1760</v>
      </c>
      <c r="D42" s="142">
        <f>_11_A通院２増４．５</f>
        <v>621</v>
      </c>
      <c r="E42" s="23" t="s">
        <v>394</v>
      </c>
      <c r="F42" s="242"/>
      <c r="G42" s="49"/>
      <c r="H42" s="50"/>
      <c r="I42" s="144" t="s">
        <v>396</v>
      </c>
      <c r="J42" s="131" t="s">
        <v>397</v>
      </c>
      <c r="K42" s="57">
        <v>1</v>
      </c>
      <c r="L42" s="58">
        <f>ROUND((ROUND((_11_A通院２増４．５*_11・基礎２),0)*_11・２人),0)</f>
        <v>559</v>
      </c>
      <c r="M42" s="59"/>
    </row>
    <row r="43" spans="1:13" ht="16.5" customHeight="1" x14ac:dyDescent="0.2">
      <c r="A43" s="44">
        <v>16</v>
      </c>
      <c r="B43" s="44">
        <v>7419</v>
      </c>
      <c r="C43" s="45" t="s">
        <v>1761</v>
      </c>
      <c r="D43" s="245" t="s">
        <v>1931</v>
      </c>
      <c r="E43" s="274"/>
      <c r="F43" s="47"/>
      <c r="I43" s="54"/>
      <c r="J43" s="49"/>
      <c r="K43" s="50"/>
      <c r="L43" s="51">
        <f>_11_A通院２増５．０</f>
        <v>690</v>
      </c>
      <c r="M43" s="52"/>
    </row>
    <row r="44" spans="1:13" ht="16.5" customHeight="1" x14ac:dyDescent="0.2">
      <c r="A44" s="44">
        <v>16</v>
      </c>
      <c r="B44" s="53">
        <v>7420</v>
      </c>
      <c r="C44" s="69" t="s">
        <v>1762</v>
      </c>
      <c r="D44" s="273"/>
      <c r="E44" s="274"/>
      <c r="F44" s="54"/>
      <c r="G44" s="49"/>
      <c r="H44" s="50"/>
      <c r="I44" s="144" t="s">
        <v>396</v>
      </c>
      <c r="J44" s="131" t="s">
        <v>397</v>
      </c>
      <c r="K44" s="57">
        <v>1</v>
      </c>
      <c r="L44" s="58">
        <f>ROUND((_11_A通院２増５．０*_11・２人),0)</f>
        <v>690</v>
      </c>
      <c r="M44" s="59"/>
    </row>
    <row r="45" spans="1:13" ht="16.5" customHeight="1" x14ac:dyDescent="0.2">
      <c r="A45" s="44">
        <v>16</v>
      </c>
      <c r="B45" s="53">
        <v>7421</v>
      </c>
      <c r="C45" s="69" t="s">
        <v>1763</v>
      </c>
      <c r="D45" s="273"/>
      <c r="E45" s="274"/>
      <c r="F45" s="241" t="s">
        <v>398</v>
      </c>
      <c r="G45" s="132" t="s">
        <v>397</v>
      </c>
      <c r="H45" s="61">
        <v>0.9</v>
      </c>
      <c r="I45" s="109"/>
      <c r="J45" s="56"/>
      <c r="K45" s="57"/>
      <c r="L45" s="58">
        <f>ROUND((_11_A通院２増５．０*_11・基礎２),0)</f>
        <v>621</v>
      </c>
      <c r="M45" s="59"/>
    </row>
    <row r="46" spans="1:13" ht="16.5" customHeight="1" x14ac:dyDescent="0.2">
      <c r="A46" s="44">
        <v>16</v>
      </c>
      <c r="B46" s="53">
        <v>7422</v>
      </c>
      <c r="C46" s="69" t="s">
        <v>1764</v>
      </c>
      <c r="D46" s="142">
        <f>_11_A通院２増５．０</f>
        <v>690</v>
      </c>
      <c r="E46" s="23" t="s">
        <v>394</v>
      </c>
      <c r="F46" s="242"/>
      <c r="G46" s="49"/>
      <c r="H46" s="50"/>
      <c r="I46" s="144" t="s">
        <v>396</v>
      </c>
      <c r="J46" s="131" t="s">
        <v>397</v>
      </c>
      <c r="K46" s="57">
        <v>1</v>
      </c>
      <c r="L46" s="58">
        <f>ROUND((ROUND((_11_A通院２増５．０*_11・基礎２),0)*_11・２人),0)</f>
        <v>621</v>
      </c>
      <c r="M46" s="59"/>
    </row>
    <row r="47" spans="1:13" ht="16.5" customHeight="1" x14ac:dyDescent="0.2">
      <c r="A47" s="44">
        <v>16</v>
      </c>
      <c r="B47" s="53">
        <v>7423</v>
      </c>
      <c r="C47" s="69" t="s">
        <v>1765</v>
      </c>
      <c r="D47" s="243" t="s">
        <v>1932</v>
      </c>
      <c r="E47" s="272"/>
      <c r="F47" s="62"/>
      <c r="G47" s="60"/>
      <c r="H47" s="61"/>
      <c r="I47" s="109"/>
      <c r="J47" s="56"/>
      <c r="K47" s="57"/>
      <c r="L47" s="58">
        <f>_11_A通院２増５．５</f>
        <v>759</v>
      </c>
      <c r="M47" s="59"/>
    </row>
    <row r="48" spans="1:13" ht="16.5" customHeight="1" x14ac:dyDescent="0.2">
      <c r="A48" s="44">
        <v>16</v>
      </c>
      <c r="B48" s="53">
        <v>7424</v>
      </c>
      <c r="C48" s="69" t="s">
        <v>1766</v>
      </c>
      <c r="D48" s="273"/>
      <c r="E48" s="274"/>
      <c r="F48" s="54"/>
      <c r="G48" s="49"/>
      <c r="H48" s="50"/>
      <c r="I48" s="144" t="s">
        <v>396</v>
      </c>
      <c r="J48" s="131" t="s">
        <v>397</v>
      </c>
      <c r="K48" s="57">
        <v>1</v>
      </c>
      <c r="L48" s="58">
        <f>ROUND((_11_A通院２増５．５*_11・２人),0)</f>
        <v>759</v>
      </c>
      <c r="M48" s="59"/>
    </row>
    <row r="49" spans="1:13" ht="16.5" customHeight="1" x14ac:dyDescent="0.2">
      <c r="A49" s="44">
        <v>16</v>
      </c>
      <c r="B49" s="53">
        <v>7425</v>
      </c>
      <c r="C49" s="69" t="s">
        <v>1767</v>
      </c>
      <c r="D49" s="273"/>
      <c r="E49" s="274"/>
      <c r="F49" s="241" t="s">
        <v>398</v>
      </c>
      <c r="G49" s="132" t="s">
        <v>397</v>
      </c>
      <c r="H49" s="61">
        <v>0.9</v>
      </c>
      <c r="I49" s="109"/>
      <c r="J49" s="56"/>
      <c r="K49" s="57"/>
      <c r="L49" s="58">
        <f>ROUND((_11_A通院２増５．５*_11・基礎２),0)</f>
        <v>683</v>
      </c>
      <c r="M49" s="59"/>
    </row>
    <row r="50" spans="1:13" ht="16.5" customHeight="1" x14ac:dyDescent="0.2">
      <c r="A50" s="44">
        <v>16</v>
      </c>
      <c r="B50" s="53">
        <v>7426</v>
      </c>
      <c r="C50" s="69" t="s">
        <v>1768</v>
      </c>
      <c r="D50" s="142">
        <f>_11_A通院２増５．５</f>
        <v>759</v>
      </c>
      <c r="E50" s="23" t="s">
        <v>394</v>
      </c>
      <c r="F50" s="242"/>
      <c r="G50" s="49"/>
      <c r="H50" s="50"/>
      <c r="I50" s="144" t="s">
        <v>396</v>
      </c>
      <c r="J50" s="131" t="s">
        <v>397</v>
      </c>
      <c r="K50" s="57">
        <v>1</v>
      </c>
      <c r="L50" s="58">
        <f>ROUND((ROUND((_11_A通院２増５．５*_11・基礎２),0)*_11・２人),0)</f>
        <v>683</v>
      </c>
      <c r="M50" s="52"/>
    </row>
    <row r="51" spans="1:13" ht="16.5" customHeight="1" x14ac:dyDescent="0.2">
      <c r="A51" s="44">
        <v>16</v>
      </c>
      <c r="B51" s="53">
        <v>7427</v>
      </c>
      <c r="C51" s="69" t="s">
        <v>1769</v>
      </c>
      <c r="D51" s="243" t="s">
        <v>1933</v>
      </c>
      <c r="E51" s="272"/>
      <c r="F51" s="62"/>
      <c r="G51" s="60"/>
      <c r="H51" s="61"/>
      <c r="I51" s="109"/>
      <c r="J51" s="56"/>
      <c r="K51" s="57"/>
      <c r="L51" s="58">
        <f>_11_A通院２増６．０</f>
        <v>828</v>
      </c>
      <c r="M51" s="59"/>
    </row>
    <row r="52" spans="1:13" ht="16.5" customHeight="1" x14ac:dyDescent="0.2">
      <c r="A52" s="44">
        <v>16</v>
      </c>
      <c r="B52" s="53">
        <v>7428</v>
      </c>
      <c r="C52" s="69" t="s">
        <v>1770</v>
      </c>
      <c r="D52" s="273"/>
      <c r="E52" s="274"/>
      <c r="F52" s="54"/>
      <c r="G52" s="49"/>
      <c r="H52" s="50"/>
      <c r="I52" s="144" t="s">
        <v>396</v>
      </c>
      <c r="J52" s="131" t="s">
        <v>397</v>
      </c>
      <c r="K52" s="57">
        <v>1</v>
      </c>
      <c r="L52" s="58">
        <f>ROUND((_11_A通院２増６．０*_11・２人),0)</f>
        <v>828</v>
      </c>
      <c r="M52" s="59"/>
    </row>
    <row r="53" spans="1:13" ht="16.5" customHeight="1" x14ac:dyDescent="0.2">
      <c r="A53" s="44">
        <v>16</v>
      </c>
      <c r="B53" s="53">
        <v>7429</v>
      </c>
      <c r="C53" s="69" t="s">
        <v>1771</v>
      </c>
      <c r="D53" s="273"/>
      <c r="E53" s="274"/>
      <c r="F53" s="241" t="s">
        <v>398</v>
      </c>
      <c r="G53" s="132" t="s">
        <v>397</v>
      </c>
      <c r="H53" s="61">
        <v>0.9</v>
      </c>
      <c r="I53" s="109"/>
      <c r="J53" s="56"/>
      <c r="K53" s="57"/>
      <c r="L53" s="58">
        <f>ROUND((_11_A通院２増６．０*_11・基礎２),0)</f>
        <v>745</v>
      </c>
      <c r="M53" s="59"/>
    </row>
    <row r="54" spans="1:13" ht="16.5" customHeight="1" x14ac:dyDescent="0.2">
      <c r="A54" s="44">
        <v>16</v>
      </c>
      <c r="B54" s="53">
        <v>7430</v>
      </c>
      <c r="C54" s="69" t="s">
        <v>1772</v>
      </c>
      <c r="D54" s="142">
        <f>_11_A通院２増６．０</f>
        <v>828</v>
      </c>
      <c r="E54" s="23" t="s">
        <v>394</v>
      </c>
      <c r="F54" s="242"/>
      <c r="G54" s="49"/>
      <c r="H54" s="50"/>
      <c r="I54" s="144" t="s">
        <v>396</v>
      </c>
      <c r="J54" s="131" t="s">
        <v>397</v>
      </c>
      <c r="K54" s="57">
        <v>1</v>
      </c>
      <c r="L54" s="58">
        <f>ROUND((ROUND((_11_A通院２増６．０*_11・基礎２),0)*_11・２人),0)</f>
        <v>745</v>
      </c>
      <c r="M54" s="59"/>
    </row>
    <row r="55" spans="1:13" ht="16.5" customHeight="1" x14ac:dyDescent="0.2">
      <c r="A55" s="44">
        <v>16</v>
      </c>
      <c r="B55" s="53">
        <v>7431</v>
      </c>
      <c r="C55" s="69" t="s">
        <v>1773</v>
      </c>
      <c r="D55" s="243" t="s">
        <v>1934</v>
      </c>
      <c r="E55" s="272"/>
      <c r="F55" s="62"/>
      <c r="G55" s="60"/>
      <c r="H55" s="61"/>
      <c r="I55" s="109"/>
      <c r="J55" s="56"/>
      <c r="K55" s="57"/>
      <c r="L55" s="58">
        <f>_11_A通院２増６．５</f>
        <v>897</v>
      </c>
      <c r="M55" s="59"/>
    </row>
    <row r="56" spans="1:13" ht="16.5" customHeight="1" x14ac:dyDescent="0.2">
      <c r="A56" s="44">
        <v>16</v>
      </c>
      <c r="B56" s="53">
        <v>7432</v>
      </c>
      <c r="C56" s="69" t="s">
        <v>1774</v>
      </c>
      <c r="D56" s="273"/>
      <c r="E56" s="274"/>
      <c r="F56" s="54"/>
      <c r="G56" s="49"/>
      <c r="H56" s="50"/>
      <c r="I56" s="144" t="s">
        <v>396</v>
      </c>
      <c r="J56" s="131" t="s">
        <v>397</v>
      </c>
      <c r="K56" s="57">
        <v>1</v>
      </c>
      <c r="L56" s="58">
        <f>ROUND((_11_A通院２増６．５*_11・２人),0)</f>
        <v>897</v>
      </c>
      <c r="M56" s="59"/>
    </row>
    <row r="57" spans="1:13" ht="16.5" customHeight="1" x14ac:dyDescent="0.2">
      <c r="A57" s="44">
        <v>16</v>
      </c>
      <c r="B57" s="53">
        <v>7433</v>
      </c>
      <c r="C57" s="69" t="s">
        <v>1775</v>
      </c>
      <c r="D57" s="273"/>
      <c r="E57" s="274"/>
      <c r="F57" s="241" t="s">
        <v>398</v>
      </c>
      <c r="G57" s="132" t="s">
        <v>397</v>
      </c>
      <c r="H57" s="61">
        <v>0.9</v>
      </c>
      <c r="I57" s="109"/>
      <c r="J57" s="56"/>
      <c r="K57" s="57"/>
      <c r="L57" s="58">
        <f>ROUND((_11_A通院２増６．５*_11・基礎２),0)</f>
        <v>807</v>
      </c>
      <c r="M57" s="59"/>
    </row>
    <row r="58" spans="1:13" ht="16.5" customHeight="1" x14ac:dyDescent="0.2">
      <c r="A58" s="44">
        <v>16</v>
      </c>
      <c r="B58" s="53">
        <v>7434</v>
      </c>
      <c r="C58" s="69" t="s">
        <v>1776</v>
      </c>
      <c r="D58" s="142">
        <f>_11_A通院２増６．５</f>
        <v>897</v>
      </c>
      <c r="E58" s="23" t="s">
        <v>394</v>
      </c>
      <c r="F58" s="242"/>
      <c r="G58" s="49"/>
      <c r="H58" s="50"/>
      <c r="I58" s="144" t="s">
        <v>396</v>
      </c>
      <c r="J58" s="131" t="s">
        <v>397</v>
      </c>
      <c r="K58" s="57">
        <v>1</v>
      </c>
      <c r="L58" s="58">
        <f>ROUND((ROUND((_11_A通院２増６．５*_11・基礎２),0)*_11・２人),0)</f>
        <v>807</v>
      </c>
      <c r="M58" s="59"/>
    </row>
    <row r="59" spans="1:13" ht="16.5" customHeight="1" x14ac:dyDescent="0.2">
      <c r="A59" s="44">
        <v>16</v>
      </c>
      <c r="B59" s="53">
        <v>7435</v>
      </c>
      <c r="C59" s="69" t="s">
        <v>1777</v>
      </c>
      <c r="D59" s="243" t="s">
        <v>1935</v>
      </c>
      <c r="E59" s="272"/>
      <c r="F59" s="62"/>
      <c r="G59" s="60"/>
      <c r="H59" s="61"/>
      <c r="I59" s="109"/>
      <c r="J59" s="56"/>
      <c r="K59" s="57"/>
      <c r="L59" s="58">
        <f>_11_A通院２増７．０</f>
        <v>966</v>
      </c>
      <c r="M59" s="59"/>
    </row>
    <row r="60" spans="1:13" ht="16.5" customHeight="1" x14ac:dyDescent="0.2">
      <c r="A60" s="44">
        <v>16</v>
      </c>
      <c r="B60" s="53">
        <v>7436</v>
      </c>
      <c r="C60" s="69" t="s">
        <v>1778</v>
      </c>
      <c r="D60" s="273"/>
      <c r="E60" s="274"/>
      <c r="F60" s="54"/>
      <c r="G60" s="49"/>
      <c r="H60" s="50"/>
      <c r="I60" s="144" t="s">
        <v>396</v>
      </c>
      <c r="J60" s="131" t="s">
        <v>397</v>
      </c>
      <c r="K60" s="57">
        <v>1</v>
      </c>
      <c r="L60" s="58">
        <f>ROUND((_11_A通院２増７．０*_11・２人),0)</f>
        <v>966</v>
      </c>
      <c r="M60" s="59"/>
    </row>
    <row r="61" spans="1:13" ht="16.5" customHeight="1" x14ac:dyDescent="0.2">
      <c r="A61" s="44">
        <v>16</v>
      </c>
      <c r="B61" s="53">
        <v>7437</v>
      </c>
      <c r="C61" s="69" t="s">
        <v>1779</v>
      </c>
      <c r="D61" s="273"/>
      <c r="E61" s="274"/>
      <c r="F61" s="241" t="s">
        <v>398</v>
      </c>
      <c r="G61" s="132" t="s">
        <v>397</v>
      </c>
      <c r="H61" s="61">
        <v>0.9</v>
      </c>
      <c r="I61" s="109"/>
      <c r="J61" s="56"/>
      <c r="K61" s="57"/>
      <c r="L61" s="58">
        <f>ROUND((_11_A通院２増７．０*_11・基礎２),0)</f>
        <v>869</v>
      </c>
      <c r="M61" s="59"/>
    </row>
    <row r="62" spans="1:13" ht="16.5" customHeight="1" x14ac:dyDescent="0.2">
      <c r="A62" s="44">
        <v>16</v>
      </c>
      <c r="B62" s="53">
        <v>7438</v>
      </c>
      <c r="C62" s="69" t="s">
        <v>1780</v>
      </c>
      <c r="D62" s="142">
        <f>_11_A通院２増７．０</f>
        <v>966</v>
      </c>
      <c r="E62" s="23" t="s">
        <v>394</v>
      </c>
      <c r="F62" s="242"/>
      <c r="G62" s="49"/>
      <c r="H62" s="50"/>
      <c r="I62" s="144" t="s">
        <v>396</v>
      </c>
      <c r="J62" s="131" t="s">
        <v>397</v>
      </c>
      <c r="K62" s="57">
        <v>1</v>
      </c>
      <c r="L62" s="58">
        <f>ROUND((ROUND((_11_A通院２増７．０*_11・基礎２),0)*_11・２人),0)</f>
        <v>869</v>
      </c>
      <c r="M62" s="59"/>
    </row>
    <row r="63" spans="1:13" ht="16.5" customHeight="1" x14ac:dyDescent="0.2">
      <c r="A63" s="44">
        <v>16</v>
      </c>
      <c r="B63" s="53">
        <v>7439</v>
      </c>
      <c r="C63" s="69" t="s">
        <v>1781</v>
      </c>
      <c r="D63" s="243" t="s">
        <v>1936</v>
      </c>
      <c r="E63" s="272"/>
      <c r="F63" s="62"/>
      <c r="G63" s="60"/>
      <c r="H63" s="61"/>
      <c r="I63" s="109"/>
      <c r="J63" s="56"/>
      <c r="K63" s="57"/>
      <c r="L63" s="58">
        <f>_11_A通院２増７．５</f>
        <v>1035</v>
      </c>
      <c r="M63" s="59"/>
    </row>
    <row r="64" spans="1:13" ht="16.5" customHeight="1" x14ac:dyDescent="0.2">
      <c r="A64" s="44">
        <v>16</v>
      </c>
      <c r="B64" s="53">
        <v>7440</v>
      </c>
      <c r="C64" s="69" t="s">
        <v>1782</v>
      </c>
      <c r="D64" s="273"/>
      <c r="E64" s="274"/>
      <c r="F64" s="54"/>
      <c r="G64" s="49"/>
      <c r="H64" s="50"/>
      <c r="I64" s="144" t="s">
        <v>396</v>
      </c>
      <c r="J64" s="131" t="s">
        <v>397</v>
      </c>
      <c r="K64" s="57">
        <v>1</v>
      </c>
      <c r="L64" s="58">
        <f>ROUND((_11_A通院２増７．５*_11・２人),0)</f>
        <v>1035</v>
      </c>
      <c r="M64" s="59"/>
    </row>
    <row r="65" spans="1:13" ht="16.5" customHeight="1" x14ac:dyDescent="0.2">
      <c r="A65" s="44">
        <v>16</v>
      </c>
      <c r="B65" s="53">
        <v>7441</v>
      </c>
      <c r="C65" s="69" t="s">
        <v>1783</v>
      </c>
      <c r="D65" s="273"/>
      <c r="E65" s="274"/>
      <c r="F65" s="241" t="s">
        <v>398</v>
      </c>
      <c r="G65" s="132" t="s">
        <v>397</v>
      </c>
      <c r="H65" s="61">
        <v>0.9</v>
      </c>
      <c r="I65" s="109"/>
      <c r="J65" s="56"/>
      <c r="K65" s="57"/>
      <c r="L65" s="58">
        <f>ROUND((_11_A通院２増７．５*_11・基礎２),0)</f>
        <v>932</v>
      </c>
      <c r="M65" s="59"/>
    </row>
    <row r="66" spans="1:13" ht="16.5" customHeight="1" x14ac:dyDescent="0.2">
      <c r="A66" s="44">
        <v>16</v>
      </c>
      <c r="B66" s="53">
        <v>7442</v>
      </c>
      <c r="C66" s="69" t="s">
        <v>1784</v>
      </c>
      <c r="D66" s="142">
        <f>_11_A通院２増７．５</f>
        <v>1035</v>
      </c>
      <c r="E66" s="23" t="s">
        <v>394</v>
      </c>
      <c r="F66" s="242"/>
      <c r="G66" s="49"/>
      <c r="H66" s="50"/>
      <c r="I66" s="144" t="s">
        <v>396</v>
      </c>
      <c r="J66" s="131" t="s">
        <v>397</v>
      </c>
      <c r="K66" s="57">
        <v>1</v>
      </c>
      <c r="L66" s="58">
        <f>ROUND((ROUND((_11_A通院２増７．５*_11・基礎２),0)*_11・２人),0)</f>
        <v>932</v>
      </c>
      <c r="M66" s="59"/>
    </row>
    <row r="67" spans="1:13" ht="16.5" customHeight="1" x14ac:dyDescent="0.2">
      <c r="A67" s="44">
        <v>16</v>
      </c>
      <c r="B67" s="53">
        <v>7443</v>
      </c>
      <c r="C67" s="69" t="s">
        <v>1785</v>
      </c>
      <c r="D67" s="243" t="s">
        <v>1937</v>
      </c>
      <c r="E67" s="272"/>
      <c r="F67" s="62"/>
      <c r="G67" s="60"/>
      <c r="H67" s="61"/>
      <c r="I67" s="109"/>
      <c r="J67" s="56"/>
      <c r="K67" s="57"/>
      <c r="L67" s="58">
        <f>_11_A通院２増８．０</f>
        <v>1104</v>
      </c>
      <c r="M67" s="59"/>
    </row>
    <row r="68" spans="1:13" ht="16.5" customHeight="1" x14ac:dyDescent="0.2">
      <c r="A68" s="44">
        <v>16</v>
      </c>
      <c r="B68" s="53">
        <v>7444</v>
      </c>
      <c r="C68" s="69" t="s">
        <v>1786</v>
      </c>
      <c r="D68" s="273"/>
      <c r="E68" s="274"/>
      <c r="F68" s="54"/>
      <c r="G68" s="49"/>
      <c r="H68" s="50"/>
      <c r="I68" s="144" t="s">
        <v>396</v>
      </c>
      <c r="J68" s="131" t="s">
        <v>397</v>
      </c>
      <c r="K68" s="57">
        <v>1</v>
      </c>
      <c r="L68" s="58">
        <f>ROUND((_11_A通院２増８．０*_11・２人),0)</f>
        <v>1104</v>
      </c>
      <c r="M68" s="59"/>
    </row>
    <row r="69" spans="1:13" ht="16.5" customHeight="1" x14ac:dyDescent="0.2">
      <c r="A69" s="44">
        <v>16</v>
      </c>
      <c r="B69" s="53">
        <v>7445</v>
      </c>
      <c r="C69" s="69" t="s">
        <v>1787</v>
      </c>
      <c r="D69" s="273"/>
      <c r="E69" s="274"/>
      <c r="F69" s="241" t="s">
        <v>398</v>
      </c>
      <c r="G69" s="132" t="s">
        <v>397</v>
      </c>
      <c r="H69" s="61">
        <v>0.9</v>
      </c>
      <c r="I69" s="109"/>
      <c r="J69" s="56"/>
      <c r="K69" s="57"/>
      <c r="L69" s="58">
        <f>ROUND((_11_A通院２増８．０*_11・基礎２),0)</f>
        <v>994</v>
      </c>
      <c r="M69" s="59"/>
    </row>
    <row r="70" spans="1:13" ht="16.5" customHeight="1" x14ac:dyDescent="0.2">
      <c r="A70" s="44">
        <v>16</v>
      </c>
      <c r="B70" s="53">
        <v>7446</v>
      </c>
      <c r="C70" s="69" t="s">
        <v>1788</v>
      </c>
      <c r="D70" s="142">
        <f>_11_A通院２増８．０</f>
        <v>1104</v>
      </c>
      <c r="E70" s="23" t="s">
        <v>394</v>
      </c>
      <c r="F70" s="242"/>
      <c r="G70" s="49"/>
      <c r="H70" s="50"/>
      <c r="I70" s="144" t="s">
        <v>396</v>
      </c>
      <c r="J70" s="131" t="s">
        <v>397</v>
      </c>
      <c r="K70" s="57">
        <v>1</v>
      </c>
      <c r="L70" s="58">
        <f>ROUND((ROUND((_11_A通院２増８．０*_11・基礎２),0)*_11・２人),0)</f>
        <v>994</v>
      </c>
      <c r="M70" s="59"/>
    </row>
    <row r="71" spans="1:13" ht="16.5" customHeight="1" x14ac:dyDescent="0.2">
      <c r="A71" s="44">
        <v>16</v>
      </c>
      <c r="B71" s="53">
        <v>7447</v>
      </c>
      <c r="C71" s="69" t="s">
        <v>1789</v>
      </c>
      <c r="D71" s="243" t="s">
        <v>1938</v>
      </c>
      <c r="E71" s="272"/>
      <c r="F71" s="62"/>
      <c r="G71" s="60"/>
      <c r="H71" s="61"/>
      <c r="I71" s="109"/>
      <c r="J71" s="56"/>
      <c r="K71" s="57"/>
      <c r="L71" s="58">
        <f>_11_A通院２増８．５</f>
        <v>1173</v>
      </c>
      <c r="M71" s="59"/>
    </row>
    <row r="72" spans="1:13" ht="16.5" customHeight="1" x14ac:dyDescent="0.2">
      <c r="A72" s="44">
        <v>16</v>
      </c>
      <c r="B72" s="53">
        <v>7448</v>
      </c>
      <c r="C72" s="69" t="s">
        <v>1790</v>
      </c>
      <c r="D72" s="273"/>
      <c r="E72" s="274"/>
      <c r="F72" s="54"/>
      <c r="G72" s="49"/>
      <c r="H72" s="50"/>
      <c r="I72" s="144" t="s">
        <v>396</v>
      </c>
      <c r="J72" s="131" t="s">
        <v>397</v>
      </c>
      <c r="K72" s="57">
        <v>1</v>
      </c>
      <c r="L72" s="58">
        <f>ROUND((_11_A通院２増８．５*_11・２人),0)</f>
        <v>1173</v>
      </c>
      <c r="M72" s="59"/>
    </row>
    <row r="73" spans="1:13" ht="16.5" customHeight="1" x14ac:dyDescent="0.2">
      <c r="A73" s="44">
        <v>16</v>
      </c>
      <c r="B73" s="53">
        <v>7449</v>
      </c>
      <c r="C73" s="69" t="s">
        <v>1791</v>
      </c>
      <c r="D73" s="273"/>
      <c r="E73" s="274"/>
      <c r="F73" s="241" t="s">
        <v>398</v>
      </c>
      <c r="G73" s="132" t="s">
        <v>397</v>
      </c>
      <c r="H73" s="61">
        <v>0.9</v>
      </c>
      <c r="I73" s="109"/>
      <c r="J73" s="56"/>
      <c r="K73" s="57"/>
      <c r="L73" s="58">
        <f>ROUND((_11_A通院２増８．５*_11・基礎２),0)</f>
        <v>1056</v>
      </c>
      <c r="M73" s="59"/>
    </row>
    <row r="74" spans="1:13" ht="16.5" customHeight="1" x14ac:dyDescent="0.2">
      <c r="A74" s="44">
        <v>16</v>
      </c>
      <c r="B74" s="53">
        <v>7450</v>
      </c>
      <c r="C74" s="69" t="s">
        <v>1792</v>
      </c>
      <c r="D74" s="142">
        <f>_11_A通院２増８．５</f>
        <v>1173</v>
      </c>
      <c r="E74" s="23" t="s">
        <v>394</v>
      </c>
      <c r="F74" s="242"/>
      <c r="G74" s="49"/>
      <c r="H74" s="50"/>
      <c r="I74" s="144" t="s">
        <v>396</v>
      </c>
      <c r="J74" s="131" t="s">
        <v>397</v>
      </c>
      <c r="K74" s="57">
        <v>1</v>
      </c>
      <c r="L74" s="58">
        <f>ROUND((ROUND((_11_A通院２増８．５*_11・基礎２),0)*_11・２人),0)</f>
        <v>1056</v>
      </c>
      <c r="M74" s="59"/>
    </row>
    <row r="75" spans="1:13" ht="16.5" customHeight="1" x14ac:dyDescent="0.2">
      <c r="A75" s="44">
        <v>16</v>
      </c>
      <c r="B75" s="53">
        <v>7451</v>
      </c>
      <c r="C75" s="69" t="s">
        <v>1793</v>
      </c>
      <c r="D75" s="243" t="s">
        <v>1939</v>
      </c>
      <c r="E75" s="272"/>
      <c r="F75" s="62"/>
      <c r="G75" s="60"/>
      <c r="H75" s="61"/>
      <c r="I75" s="109"/>
      <c r="J75" s="56"/>
      <c r="K75" s="57"/>
      <c r="L75" s="58">
        <f>_11_A通院２増９．０</f>
        <v>1242</v>
      </c>
      <c r="M75" s="59"/>
    </row>
    <row r="76" spans="1:13" ht="16.5" customHeight="1" x14ac:dyDescent="0.2">
      <c r="A76" s="44">
        <v>16</v>
      </c>
      <c r="B76" s="53">
        <v>7452</v>
      </c>
      <c r="C76" s="69" t="s">
        <v>1794</v>
      </c>
      <c r="D76" s="273"/>
      <c r="E76" s="274"/>
      <c r="F76" s="54"/>
      <c r="G76" s="49"/>
      <c r="H76" s="50"/>
      <c r="I76" s="144" t="s">
        <v>396</v>
      </c>
      <c r="J76" s="131" t="s">
        <v>397</v>
      </c>
      <c r="K76" s="57">
        <v>1</v>
      </c>
      <c r="L76" s="58">
        <f>ROUND((_11_A通院２増９．０*_11・２人),0)</f>
        <v>1242</v>
      </c>
      <c r="M76" s="59"/>
    </row>
    <row r="77" spans="1:13" ht="16.5" customHeight="1" x14ac:dyDescent="0.2">
      <c r="A77" s="44">
        <v>16</v>
      </c>
      <c r="B77" s="53">
        <v>7453</v>
      </c>
      <c r="C77" s="69" t="s">
        <v>1795</v>
      </c>
      <c r="D77" s="273"/>
      <c r="E77" s="274"/>
      <c r="F77" s="241" t="s">
        <v>398</v>
      </c>
      <c r="G77" s="132" t="s">
        <v>397</v>
      </c>
      <c r="H77" s="61">
        <v>0.9</v>
      </c>
      <c r="I77" s="109"/>
      <c r="J77" s="56"/>
      <c r="K77" s="57"/>
      <c r="L77" s="58">
        <f>ROUND((_11_A通院２増９．０*_11・基礎２),0)</f>
        <v>1118</v>
      </c>
      <c r="M77" s="59"/>
    </row>
    <row r="78" spans="1:13" ht="16.5" customHeight="1" x14ac:dyDescent="0.2">
      <c r="A78" s="44">
        <v>16</v>
      </c>
      <c r="B78" s="53">
        <v>7454</v>
      </c>
      <c r="C78" s="69" t="s">
        <v>1796</v>
      </c>
      <c r="D78" s="142">
        <f>_11_A通院２増９．０</f>
        <v>1242</v>
      </c>
      <c r="E78" s="23" t="s">
        <v>394</v>
      </c>
      <c r="F78" s="242"/>
      <c r="G78" s="49"/>
      <c r="H78" s="50"/>
      <c r="I78" s="144" t="s">
        <v>396</v>
      </c>
      <c r="J78" s="131" t="s">
        <v>397</v>
      </c>
      <c r="K78" s="57">
        <v>1</v>
      </c>
      <c r="L78" s="58">
        <f>ROUND((ROUND((_11_A通院２増９．０*_11・基礎２),0)*_11・２人),0)</f>
        <v>1118</v>
      </c>
      <c r="M78" s="59"/>
    </row>
    <row r="79" spans="1:13" ht="16.5" customHeight="1" x14ac:dyDescent="0.2">
      <c r="A79" s="44">
        <v>16</v>
      </c>
      <c r="B79" s="44">
        <v>7455</v>
      </c>
      <c r="C79" s="45" t="s">
        <v>1797</v>
      </c>
      <c r="D79" s="245" t="s">
        <v>1940</v>
      </c>
      <c r="E79" s="274"/>
      <c r="F79" s="47"/>
      <c r="I79" s="54"/>
      <c r="J79" s="49"/>
      <c r="K79" s="50"/>
      <c r="L79" s="51">
        <f>_11_A通院２増９．５</f>
        <v>1311</v>
      </c>
      <c r="M79" s="183"/>
    </row>
    <row r="80" spans="1:13" ht="16.5" customHeight="1" x14ac:dyDescent="0.2">
      <c r="A80" s="44">
        <v>16</v>
      </c>
      <c r="B80" s="53">
        <v>7456</v>
      </c>
      <c r="C80" s="69" t="s">
        <v>1798</v>
      </c>
      <c r="D80" s="273"/>
      <c r="E80" s="274"/>
      <c r="F80" s="54"/>
      <c r="G80" s="49"/>
      <c r="H80" s="50"/>
      <c r="I80" s="144" t="s">
        <v>396</v>
      </c>
      <c r="J80" s="131" t="s">
        <v>397</v>
      </c>
      <c r="K80" s="57">
        <v>1</v>
      </c>
      <c r="L80" s="58">
        <f>ROUND((_11_A通院２増９．５*_11・２人),0)</f>
        <v>1311</v>
      </c>
      <c r="M80" s="59"/>
    </row>
    <row r="81" spans="1:13" ht="16.5" customHeight="1" x14ac:dyDescent="0.2">
      <c r="A81" s="44">
        <v>16</v>
      </c>
      <c r="B81" s="53">
        <v>7457</v>
      </c>
      <c r="C81" s="69" t="s">
        <v>1799</v>
      </c>
      <c r="D81" s="273"/>
      <c r="E81" s="274"/>
      <c r="F81" s="241" t="s">
        <v>398</v>
      </c>
      <c r="G81" s="132" t="s">
        <v>397</v>
      </c>
      <c r="H81" s="61">
        <v>0.9</v>
      </c>
      <c r="I81" s="109"/>
      <c r="J81" s="56"/>
      <c r="K81" s="57"/>
      <c r="L81" s="58">
        <f>ROUND((_11_A通院２増９．５*_11・基礎２),0)</f>
        <v>1180</v>
      </c>
      <c r="M81" s="59"/>
    </row>
    <row r="82" spans="1:13" ht="16.5" customHeight="1" x14ac:dyDescent="0.2">
      <c r="A82" s="44">
        <v>16</v>
      </c>
      <c r="B82" s="53">
        <v>7458</v>
      </c>
      <c r="C82" s="69" t="s">
        <v>1800</v>
      </c>
      <c r="D82" s="142">
        <f>_11_A通院２増９．５</f>
        <v>1311</v>
      </c>
      <c r="E82" s="23" t="s">
        <v>394</v>
      </c>
      <c r="F82" s="242"/>
      <c r="G82" s="49"/>
      <c r="H82" s="50"/>
      <c r="I82" s="144" t="s">
        <v>396</v>
      </c>
      <c r="J82" s="131" t="s">
        <v>397</v>
      </c>
      <c r="K82" s="57">
        <v>1</v>
      </c>
      <c r="L82" s="58">
        <f>ROUND((ROUND((_11_A通院２増９．５*_11・基礎２),0)*_11・２人),0)</f>
        <v>1180</v>
      </c>
      <c r="M82" s="59"/>
    </row>
    <row r="83" spans="1:13" ht="16.5" customHeight="1" x14ac:dyDescent="0.2">
      <c r="A83" s="44">
        <v>16</v>
      </c>
      <c r="B83" s="53">
        <v>7459</v>
      </c>
      <c r="C83" s="69" t="s">
        <v>1801</v>
      </c>
      <c r="D83" s="243" t="s">
        <v>1941</v>
      </c>
      <c r="E83" s="272"/>
      <c r="F83" s="62"/>
      <c r="G83" s="60"/>
      <c r="H83" s="61"/>
      <c r="I83" s="109"/>
      <c r="J83" s="56"/>
      <c r="K83" s="57"/>
      <c r="L83" s="58">
        <f>_11_A通院２増１０．０</f>
        <v>1380</v>
      </c>
      <c r="M83" s="59"/>
    </row>
    <row r="84" spans="1:13" ht="16.5" customHeight="1" x14ac:dyDescent="0.2">
      <c r="A84" s="44">
        <v>16</v>
      </c>
      <c r="B84" s="53">
        <v>7460</v>
      </c>
      <c r="C84" s="69" t="s">
        <v>1802</v>
      </c>
      <c r="D84" s="273"/>
      <c r="E84" s="274"/>
      <c r="F84" s="54"/>
      <c r="G84" s="49"/>
      <c r="H84" s="50"/>
      <c r="I84" s="144" t="s">
        <v>396</v>
      </c>
      <c r="J84" s="131" t="s">
        <v>397</v>
      </c>
      <c r="K84" s="57">
        <v>1</v>
      </c>
      <c r="L84" s="58">
        <f>ROUND((_11_A通院２増１０．０*_11・２人),0)</f>
        <v>1380</v>
      </c>
      <c r="M84" s="59"/>
    </row>
    <row r="85" spans="1:13" ht="16.5" customHeight="1" x14ac:dyDescent="0.2">
      <c r="A85" s="44">
        <v>16</v>
      </c>
      <c r="B85" s="53">
        <v>7461</v>
      </c>
      <c r="C85" s="69" t="s">
        <v>1803</v>
      </c>
      <c r="D85" s="273"/>
      <c r="E85" s="274"/>
      <c r="F85" s="241" t="s">
        <v>398</v>
      </c>
      <c r="G85" s="132" t="s">
        <v>397</v>
      </c>
      <c r="H85" s="61">
        <v>0.9</v>
      </c>
      <c r="I85" s="109"/>
      <c r="J85" s="56"/>
      <c r="K85" s="57"/>
      <c r="L85" s="58">
        <f>ROUND((_11_A通院２増１０．０*_11・基礎２),0)</f>
        <v>1242</v>
      </c>
      <c r="M85" s="59"/>
    </row>
    <row r="86" spans="1:13" ht="16.5" customHeight="1" x14ac:dyDescent="0.2">
      <c r="A86" s="44">
        <v>16</v>
      </c>
      <c r="B86" s="53">
        <v>7462</v>
      </c>
      <c r="C86" s="69" t="s">
        <v>1804</v>
      </c>
      <c r="D86" s="142">
        <f>_11_A通院２増１０．０</f>
        <v>1380</v>
      </c>
      <c r="E86" s="23" t="s">
        <v>394</v>
      </c>
      <c r="F86" s="242"/>
      <c r="G86" s="49"/>
      <c r="H86" s="50"/>
      <c r="I86" s="144" t="s">
        <v>396</v>
      </c>
      <c r="J86" s="131" t="s">
        <v>397</v>
      </c>
      <c r="K86" s="57">
        <v>1</v>
      </c>
      <c r="L86" s="58">
        <f>ROUND((ROUND((_11_A通院２増１０．０*_11・基礎２),0)*_11・２人),0)</f>
        <v>1242</v>
      </c>
      <c r="M86" s="59"/>
    </row>
    <row r="87" spans="1:13" ht="16.5" customHeight="1" x14ac:dyDescent="0.2">
      <c r="A87" s="44">
        <v>16</v>
      </c>
      <c r="B87" s="53">
        <v>7463</v>
      </c>
      <c r="C87" s="69" t="s">
        <v>1805</v>
      </c>
      <c r="D87" s="243" t="s">
        <v>1942</v>
      </c>
      <c r="E87" s="272"/>
      <c r="F87" s="62"/>
      <c r="G87" s="60"/>
      <c r="H87" s="61"/>
      <c r="I87" s="109"/>
      <c r="J87" s="56"/>
      <c r="K87" s="57"/>
      <c r="L87" s="58">
        <f>_11_A通院２増１０．５</f>
        <v>1449</v>
      </c>
      <c r="M87" s="59"/>
    </row>
    <row r="88" spans="1:13" ht="16.5" customHeight="1" x14ac:dyDescent="0.2">
      <c r="A88" s="44">
        <v>16</v>
      </c>
      <c r="B88" s="53">
        <v>7464</v>
      </c>
      <c r="C88" s="69" t="s">
        <v>1806</v>
      </c>
      <c r="D88" s="273"/>
      <c r="E88" s="274"/>
      <c r="F88" s="54"/>
      <c r="G88" s="49"/>
      <c r="H88" s="50"/>
      <c r="I88" s="144" t="s">
        <v>396</v>
      </c>
      <c r="J88" s="131" t="s">
        <v>397</v>
      </c>
      <c r="K88" s="57">
        <v>1</v>
      </c>
      <c r="L88" s="58">
        <f>ROUND((_11_A通院２増１０．５*_11・２人),0)</f>
        <v>1449</v>
      </c>
      <c r="M88" s="59"/>
    </row>
    <row r="89" spans="1:13" ht="16.5" customHeight="1" x14ac:dyDescent="0.2">
      <c r="A89" s="44">
        <v>16</v>
      </c>
      <c r="B89" s="53">
        <v>7465</v>
      </c>
      <c r="C89" s="69" t="s">
        <v>1807</v>
      </c>
      <c r="D89" s="273"/>
      <c r="E89" s="274"/>
      <c r="F89" s="241" t="s">
        <v>398</v>
      </c>
      <c r="G89" s="132" t="s">
        <v>397</v>
      </c>
      <c r="H89" s="61">
        <v>0.9</v>
      </c>
      <c r="I89" s="109"/>
      <c r="J89" s="56"/>
      <c r="K89" s="57"/>
      <c r="L89" s="58">
        <f>ROUND((_11_A通院２増１０．５*_11・基礎２),0)</f>
        <v>1304</v>
      </c>
      <c r="M89" s="59"/>
    </row>
    <row r="90" spans="1:13" ht="16.5" customHeight="1" x14ac:dyDescent="0.2">
      <c r="A90" s="44">
        <v>16</v>
      </c>
      <c r="B90" s="53">
        <v>7466</v>
      </c>
      <c r="C90" s="69" t="s">
        <v>1808</v>
      </c>
      <c r="D90" s="143">
        <f>_11_A通院２増１０．５</f>
        <v>1449</v>
      </c>
      <c r="E90" s="177" t="s">
        <v>394</v>
      </c>
      <c r="F90" s="242"/>
      <c r="G90" s="49"/>
      <c r="H90" s="50"/>
      <c r="I90" s="144" t="s">
        <v>396</v>
      </c>
      <c r="J90" s="131" t="s">
        <v>397</v>
      </c>
      <c r="K90" s="57">
        <v>1</v>
      </c>
      <c r="L90" s="58">
        <f>ROUND((ROUND((_11_A通院２増１０．５*_11・基礎２),0)*_11・２人),0)</f>
        <v>1304</v>
      </c>
      <c r="M90" s="111"/>
    </row>
    <row r="91" spans="1:13" ht="16.5" customHeight="1" x14ac:dyDescent="0.2"/>
    <row r="92" spans="1:13" ht="16.5" customHeight="1" x14ac:dyDescent="0.2"/>
  </sheetData>
  <mergeCells count="42">
    <mergeCell ref="D15:E17"/>
    <mergeCell ref="F17:F18"/>
    <mergeCell ref="D7:E9"/>
    <mergeCell ref="F9:F10"/>
    <mergeCell ref="D11:E13"/>
    <mergeCell ref="F13:F14"/>
    <mergeCell ref="D27:E29"/>
    <mergeCell ref="F29:F30"/>
    <mergeCell ref="D19:E21"/>
    <mergeCell ref="F21:F22"/>
    <mergeCell ref="D23:E25"/>
    <mergeCell ref="F25:F26"/>
    <mergeCell ref="D39:E41"/>
    <mergeCell ref="F41:F42"/>
    <mergeCell ref="D31:E33"/>
    <mergeCell ref="F33:F34"/>
    <mergeCell ref="D35:E37"/>
    <mergeCell ref="F37:F38"/>
    <mergeCell ref="D51:E53"/>
    <mergeCell ref="F53:F54"/>
    <mergeCell ref="D43:E45"/>
    <mergeCell ref="F45:F46"/>
    <mergeCell ref="D47:E49"/>
    <mergeCell ref="F49:F50"/>
    <mergeCell ref="D63:E65"/>
    <mergeCell ref="F65:F66"/>
    <mergeCell ref="D55:E57"/>
    <mergeCell ref="F57:F58"/>
    <mergeCell ref="D59:E61"/>
    <mergeCell ref="F61:F62"/>
    <mergeCell ref="D75:E77"/>
    <mergeCell ref="F77:F78"/>
    <mergeCell ref="D67:E69"/>
    <mergeCell ref="F69:F70"/>
    <mergeCell ref="D71:E73"/>
    <mergeCell ref="F73:F74"/>
    <mergeCell ref="D87:E89"/>
    <mergeCell ref="F89:F90"/>
    <mergeCell ref="D79:E81"/>
    <mergeCell ref="F81:F82"/>
    <mergeCell ref="D83:E85"/>
    <mergeCell ref="F85:F8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T92"/>
  <sheetViews>
    <sheetView workbookViewId="0">
      <selection activeCell="M13" sqref="M13"/>
    </sheetView>
  </sheetViews>
  <sheetFormatPr defaultColWidth="8.90625" defaultRowHeight="14" x14ac:dyDescent="0.2"/>
  <cols>
    <col min="1" max="1" width="4.6328125" style="22" customWidth="1"/>
    <col min="2" max="2" width="7.6328125" style="22" customWidth="1"/>
    <col min="3" max="3" width="37.453125" style="23" customWidth="1"/>
    <col min="4" max="4" width="4.90625" style="23" customWidth="1"/>
    <col min="5" max="5" width="4.90625" style="25" customWidth="1"/>
    <col min="6" max="6" width="12" style="25" customWidth="1"/>
    <col min="7" max="7" width="2.453125" style="25" customWidth="1"/>
    <col min="8" max="8" width="4.453125" style="26" bestFit="1" customWidth="1"/>
    <col min="9" max="9" width="26" style="25" customWidth="1"/>
    <col min="10" max="10" width="2.453125" style="25" customWidth="1"/>
    <col min="11" max="11" width="5.453125" style="26" bestFit="1" customWidth="1"/>
    <col min="12" max="12" width="7.08984375" style="28" customWidth="1"/>
    <col min="13" max="13" width="8.6328125" style="29" customWidth="1"/>
    <col min="14" max="18" width="8.90625" style="25"/>
    <col min="19" max="19" width="7.6328125" style="22" customWidth="1"/>
    <col min="20" max="16384" width="8.90625" style="25"/>
  </cols>
  <sheetData>
    <row r="1" spans="1:20" ht="17.149999999999999" customHeight="1" x14ac:dyDescent="0.2"/>
    <row r="2" spans="1:20" ht="17.149999999999999" customHeight="1" x14ac:dyDescent="0.2">
      <c r="A2" s="236" t="s">
        <v>2795</v>
      </c>
    </row>
    <row r="3" spans="1:20" ht="17.149999999999999" customHeight="1" x14ac:dyDescent="0.2"/>
    <row r="4" spans="1:20" ht="17.149999999999999" customHeight="1" x14ac:dyDescent="0.2">
      <c r="B4" s="30" t="s">
        <v>2594</v>
      </c>
      <c r="D4" s="65"/>
      <c r="S4" s="30" t="s">
        <v>2594</v>
      </c>
    </row>
    <row r="5" spans="1:20" ht="16.5" customHeight="1" x14ac:dyDescent="0.2">
      <c r="A5" s="31" t="s">
        <v>386</v>
      </c>
      <c r="B5" s="32"/>
      <c r="C5" s="33" t="s">
        <v>387</v>
      </c>
      <c r="D5" s="34" t="s">
        <v>388</v>
      </c>
      <c r="E5" s="34"/>
      <c r="F5" s="34"/>
      <c r="G5" s="34"/>
      <c r="H5" s="35"/>
      <c r="I5" s="34"/>
      <c r="J5" s="34"/>
      <c r="K5" s="35"/>
      <c r="L5" s="36" t="s">
        <v>389</v>
      </c>
      <c r="M5" s="33" t="s">
        <v>390</v>
      </c>
      <c r="S5" s="32"/>
    </row>
    <row r="6" spans="1:20" ht="16.5" customHeight="1" x14ac:dyDescent="0.2">
      <c r="A6" s="37" t="s">
        <v>391</v>
      </c>
      <c r="B6" s="37" t="s">
        <v>392</v>
      </c>
      <c r="C6" s="38"/>
      <c r="D6" s="40"/>
      <c r="E6" s="40"/>
      <c r="F6" s="40"/>
      <c r="G6" s="40"/>
      <c r="H6" s="41"/>
      <c r="I6" s="40"/>
      <c r="J6" s="40"/>
      <c r="K6" s="41"/>
      <c r="L6" s="42" t="s">
        <v>393</v>
      </c>
      <c r="M6" s="43" t="s">
        <v>394</v>
      </c>
      <c r="S6" s="37" t="s">
        <v>392</v>
      </c>
    </row>
    <row r="7" spans="1:20" ht="16.5" customHeight="1" x14ac:dyDescent="0.2">
      <c r="A7" s="184">
        <v>16</v>
      </c>
      <c r="B7" s="184">
        <v>7653</v>
      </c>
      <c r="C7" s="207" t="s">
        <v>2595</v>
      </c>
      <c r="D7" s="259" t="s">
        <v>1923</v>
      </c>
      <c r="E7" s="287"/>
      <c r="F7" s="185"/>
      <c r="G7" s="186"/>
      <c r="H7" s="187"/>
      <c r="I7" s="194"/>
      <c r="J7" s="189"/>
      <c r="K7" s="190"/>
      <c r="L7" s="191">
        <v>70</v>
      </c>
      <c r="M7" s="192" t="s">
        <v>395</v>
      </c>
      <c r="S7" s="184" t="s">
        <v>2403</v>
      </c>
      <c r="T7" s="25" t="s">
        <v>2791</v>
      </c>
    </row>
    <row r="8" spans="1:20" ht="16.5" customHeight="1" x14ac:dyDescent="0.2">
      <c r="A8" s="193">
        <v>16</v>
      </c>
      <c r="B8" s="184">
        <v>7654</v>
      </c>
      <c r="C8" s="210" t="s">
        <v>2596</v>
      </c>
      <c r="D8" s="288"/>
      <c r="E8" s="287"/>
      <c r="F8" s="194"/>
      <c r="G8" s="189"/>
      <c r="H8" s="190"/>
      <c r="I8" s="214" t="s">
        <v>396</v>
      </c>
      <c r="J8" s="215" t="s">
        <v>397</v>
      </c>
      <c r="K8" s="197">
        <v>1</v>
      </c>
      <c r="L8" s="198">
        <v>70</v>
      </c>
      <c r="M8" s="199"/>
      <c r="S8" s="184" t="s">
        <v>2404</v>
      </c>
      <c r="T8" s="25" t="s">
        <v>2792</v>
      </c>
    </row>
    <row r="9" spans="1:20" ht="16.5" customHeight="1" x14ac:dyDescent="0.2">
      <c r="A9" s="193">
        <v>16</v>
      </c>
      <c r="B9" s="184">
        <v>7655</v>
      </c>
      <c r="C9" s="210" t="s">
        <v>2597</v>
      </c>
      <c r="D9" s="288"/>
      <c r="E9" s="287"/>
      <c r="F9" s="262" t="s">
        <v>398</v>
      </c>
      <c r="G9" s="216" t="s">
        <v>397</v>
      </c>
      <c r="H9" s="201">
        <v>0.9</v>
      </c>
      <c r="I9" s="217"/>
      <c r="J9" s="196"/>
      <c r="K9" s="197"/>
      <c r="L9" s="198">
        <v>63</v>
      </c>
      <c r="M9" s="199"/>
      <c r="S9" s="184" t="s">
        <v>2405</v>
      </c>
    </row>
    <row r="10" spans="1:20" ht="16.5" customHeight="1" x14ac:dyDescent="0.2">
      <c r="A10" s="193">
        <v>16</v>
      </c>
      <c r="B10" s="184">
        <v>7656</v>
      </c>
      <c r="C10" s="210" t="s">
        <v>2598</v>
      </c>
      <c r="D10" s="218">
        <v>70</v>
      </c>
      <c r="E10" s="219" t="s">
        <v>394</v>
      </c>
      <c r="F10" s="289"/>
      <c r="G10" s="189"/>
      <c r="H10" s="190"/>
      <c r="I10" s="214" t="s">
        <v>396</v>
      </c>
      <c r="J10" s="215" t="s">
        <v>397</v>
      </c>
      <c r="K10" s="197">
        <v>1</v>
      </c>
      <c r="L10" s="198">
        <v>63</v>
      </c>
      <c r="M10" s="199"/>
      <c r="S10" s="184" t="s">
        <v>2406</v>
      </c>
    </row>
    <row r="11" spans="1:20" ht="16.5" customHeight="1" x14ac:dyDescent="0.2">
      <c r="A11" s="193">
        <v>16</v>
      </c>
      <c r="B11" s="184">
        <v>7657</v>
      </c>
      <c r="C11" s="210" t="s">
        <v>2599</v>
      </c>
      <c r="D11" s="264" t="s">
        <v>1922</v>
      </c>
      <c r="E11" s="290"/>
      <c r="F11" s="202"/>
      <c r="G11" s="200"/>
      <c r="H11" s="201"/>
      <c r="I11" s="217"/>
      <c r="J11" s="196"/>
      <c r="K11" s="197"/>
      <c r="L11" s="198">
        <v>139</v>
      </c>
      <c r="M11" s="199"/>
      <c r="S11" s="184" t="s">
        <v>2407</v>
      </c>
    </row>
    <row r="12" spans="1:20" ht="16.5" customHeight="1" x14ac:dyDescent="0.2">
      <c r="A12" s="193">
        <v>16</v>
      </c>
      <c r="B12" s="184">
        <v>7658</v>
      </c>
      <c r="C12" s="210" t="s">
        <v>2600</v>
      </c>
      <c r="D12" s="288"/>
      <c r="E12" s="287"/>
      <c r="F12" s="194"/>
      <c r="G12" s="189"/>
      <c r="H12" s="190"/>
      <c r="I12" s="214" t="s">
        <v>396</v>
      </c>
      <c r="J12" s="215" t="s">
        <v>397</v>
      </c>
      <c r="K12" s="197">
        <v>1</v>
      </c>
      <c r="L12" s="198">
        <v>139</v>
      </c>
      <c r="M12" s="199"/>
      <c r="S12" s="184" t="s">
        <v>2408</v>
      </c>
    </row>
    <row r="13" spans="1:20" ht="16.5" customHeight="1" x14ac:dyDescent="0.2">
      <c r="A13" s="193">
        <v>16</v>
      </c>
      <c r="B13" s="184">
        <v>7659</v>
      </c>
      <c r="C13" s="210" t="s">
        <v>2601</v>
      </c>
      <c r="D13" s="288"/>
      <c r="E13" s="287"/>
      <c r="F13" s="262" t="s">
        <v>398</v>
      </c>
      <c r="G13" s="216" t="s">
        <v>397</v>
      </c>
      <c r="H13" s="201">
        <v>0.9</v>
      </c>
      <c r="I13" s="217"/>
      <c r="J13" s="196"/>
      <c r="K13" s="197"/>
      <c r="L13" s="198">
        <v>125</v>
      </c>
      <c r="M13" s="199"/>
      <c r="S13" s="184" t="s">
        <v>2409</v>
      </c>
    </row>
    <row r="14" spans="1:20" ht="16.5" customHeight="1" x14ac:dyDescent="0.2">
      <c r="A14" s="193">
        <v>16</v>
      </c>
      <c r="B14" s="184">
        <v>7660</v>
      </c>
      <c r="C14" s="210" t="s">
        <v>2602</v>
      </c>
      <c r="D14" s="218">
        <v>139</v>
      </c>
      <c r="E14" s="219" t="s">
        <v>394</v>
      </c>
      <c r="F14" s="289"/>
      <c r="G14" s="189"/>
      <c r="H14" s="190"/>
      <c r="I14" s="214" t="s">
        <v>396</v>
      </c>
      <c r="J14" s="215" t="s">
        <v>397</v>
      </c>
      <c r="K14" s="197">
        <v>1</v>
      </c>
      <c r="L14" s="198">
        <v>125</v>
      </c>
      <c r="M14" s="199"/>
      <c r="S14" s="184" t="s">
        <v>2410</v>
      </c>
    </row>
    <row r="15" spans="1:20" ht="16.5" customHeight="1" x14ac:dyDescent="0.2">
      <c r="A15" s="193">
        <v>16</v>
      </c>
      <c r="B15" s="184">
        <v>7661</v>
      </c>
      <c r="C15" s="210" t="s">
        <v>2603</v>
      </c>
      <c r="D15" s="264" t="s">
        <v>1924</v>
      </c>
      <c r="E15" s="290"/>
      <c r="F15" s="202"/>
      <c r="G15" s="200"/>
      <c r="H15" s="201"/>
      <c r="I15" s="217"/>
      <c r="J15" s="196"/>
      <c r="K15" s="197"/>
      <c r="L15" s="198">
        <v>208</v>
      </c>
      <c r="M15" s="199"/>
      <c r="S15" s="184" t="s">
        <v>2411</v>
      </c>
    </row>
    <row r="16" spans="1:20" ht="16.5" customHeight="1" x14ac:dyDescent="0.2">
      <c r="A16" s="193">
        <v>16</v>
      </c>
      <c r="B16" s="184">
        <v>7662</v>
      </c>
      <c r="C16" s="210" t="s">
        <v>2604</v>
      </c>
      <c r="D16" s="288"/>
      <c r="E16" s="287"/>
      <c r="F16" s="194"/>
      <c r="G16" s="189"/>
      <c r="H16" s="190"/>
      <c r="I16" s="214" t="s">
        <v>396</v>
      </c>
      <c r="J16" s="215" t="s">
        <v>397</v>
      </c>
      <c r="K16" s="197">
        <v>1</v>
      </c>
      <c r="L16" s="198">
        <v>208</v>
      </c>
      <c r="M16" s="199"/>
      <c r="S16" s="184" t="s">
        <v>2412</v>
      </c>
    </row>
    <row r="17" spans="1:19" ht="16.5" customHeight="1" x14ac:dyDescent="0.2">
      <c r="A17" s="193">
        <v>16</v>
      </c>
      <c r="B17" s="184">
        <v>7663</v>
      </c>
      <c r="C17" s="210" t="s">
        <v>2605</v>
      </c>
      <c r="D17" s="288"/>
      <c r="E17" s="287"/>
      <c r="F17" s="262" t="s">
        <v>398</v>
      </c>
      <c r="G17" s="216" t="s">
        <v>397</v>
      </c>
      <c r="H17" s="201">
        <v>0.9</v>
      </c>
      <c r="I17" s="217"/>
      <c r="J17" s="196"/>
      <c r="K17" s="197"/>
      <c r="L17" s="198">
        <v>187</v>
      </c>
      <c r="M17" s="199"/>
      <c r="S17" s="184" t="s">
        <v>2413</v>
      </c>
    </row>
    <row r="18" spans="1:19" ht="16.5" customHeight="1" x14ac:dyDescent="0.2">
      <c r="A18" s="193">
        <v>16</v>
      </c>
      <c r="B18" s="184">
        <v>7664</v>
      </c>
      <c r="C18" s="210" t="s">
        <v>2606</v>
      </c>
      <c r="D18" s="218">
        <v>208</v>
      </c>
      <c r="E18" s="219" t="s">
        <v>394</v>
      </c>
      <c r="F18" s="289"/>
      <c r="G18" s="189"/>
      <c r="H18" s="190"/>
      <c r="I18" s="214" t="s">
        <v>396</v>
      </c>
      <c r="J18" s="215" t="s">
        <v>397</v>
      </c>
      <c r="K18" s="197">
        <v>1</v>
      </c>
      <c r="L18" s="198">
        <v>187</v>
      </c>
      <c r="M18" s="199"/>
      <c r="S18" s="184" t="s">
        <v>2414</v>
      </c>
    </row>
    <row r="19" spans="1:19" ht="16.5" customHeight="1" x14ac:dyDescent="0.2">
      <c r="A19" s="193">
        <v>16</v>
      </c>
      <c r="B19" s="184">
        <v>7665</v>
      </c>
      <c r="C19" s="210" t="s">
        <v>2607</v>
      </c>
      <c r="D19" s="264" t="s">
        <v>1925</v>
      </c>
      <c r="E19" s="290"/>
      <c r="F19" s="202"/>
      <c r="G19" s="200"/>
      <c r="H19" s="201"/>
      <c r="I19" s="217"/>
      <c r="J19" s="196"/>
      <c r="K19" s="197"/>
      <c r="L19" s="198">
        <v>277</v>
      </c>
      <c r="M19" s="199"/>
      <c r="S19" s="184" t="s">
        <v>2415</v>
      </c>
    </row>
    <row r="20" spans="1:19" ht="16.5" customHeight="1" x14ac:dyDescent="0.2">
      <c r="A20" s="193">
        <v>16</v>
      </c>
      <c r="B20" s="184">
        <v>7666</v>
      </c>
      <c r="C20" s="210" t="s">
        <v>2608</v>
      </c>
      <c r="D20" s="288"/>
      <c r="E20" s="287"/>
      <c r="F20" s="194"/>
      <c r="G20" s="189"/>
      <c r="H20" s="190"/>
      <c r="I20" s="214" t="s">
        <v>396</v>
      </c>
      <c r="J20" s="215" t="s">
        <v>397</v>
      </c>
      <c r="K20" s="197">
        <v>1</v>
      </c>
      <c r="L20" s="198">
        <v>277</v>
      </c>
      <c r="M20" s="199"/>
      <c r="S20" s="184" t="s">
        <v>2416</v>
      </c>
    </row>
    <row r="21" spans="1:19" ht="16.5" customHeight="1" x14ac:dyDescent="0.2">
      <c r="A21" s="193">
        <v>16</v>
      </c>
      <c r="B21" s="184">
        <v>7667</v>
      </c>
      <c r="C21" s="210" t="s">
        <v>2609</v>
      </c>
      <c r="D21" s="288"/>
      <c r="E21" s="287"/>
      <c r="F21" s="262" t="s">
        <v>398</v>
      </c>
      <c r="G21" s="216" t="s">
        <v>397</v>
      </c>
      <c r="H21" s="201">
        <v>0.9</v>
      </c>
      <c r="I21" s="217"/>
      <c r="J21" s="196"/>
      <c r="K21" s="197"/>
      <c r="L21" s="198">
        <v>249</v>
      </c>
      <c r="M21" s="199"/>
      <c r="S21" s="184" t="s">
        <v>2417</v>
      </c>
    </row>
    <row r="22" spans="1:19" ht="16.5" customHeight="1" x14ac:dyDescent="0.2">
      <c r="A22" s="193">
        <v>16</v>
      </c>
      <c r="B22" s="184">
        <v>7668</v>
      </c>
      <c r="C22" s="210" t="s">
        <v>2610</v>
      </c>
      <c r="D22" s="218">
        <v>277</v>
      </c>
      <c r="E22" s="219" t="s">
        <v>394</v>
      </c>
      <c r="F22" s="289"/>
      <c r="G22" s="189"/>
      <c r="H22" s="190"/>
      <c r="I22" s="214" t="s">
        <v>396</v>
      </c>
      <c r="J22" s="215" t="s">
        <v>397</v>
      </c>
      <c r="K22" s="197">
        <v>1</v>
      </c>
      <c r="L22" s="198">
        <v>249</v>
      </c>
      <c r="M22" s="199"/>
      <c r="S22" s="184" t="s">
        <v>2418</v>
      </c>
    </row>
    <row r="23" spans="1:19" ht="16.5" customHeight="1" x14ac:dyDescent="0.2">
      <c r="A23" s="193">
        <v>16</v>
      </c>
      <c r="B23" s="184">
        <v>7669</v>
      </c>
      <c r="C23" s="210" t="s">
        <v>2611</v>
      </c>
      <c r="D23" s="264" t="s">
        <v>1926</v>
      </c>
      <c r="E23" s="290"/>
      <c r="F23" s="202"/>
      <c r="G23" s="200"/>
      <c r="H23" s="201"/>
      <c r="I23" s="217"/>
      <c r="J23" s="196"/>
      <c r="K23" s="197"/>
      <c r="L23" s="198">
        <v>346</v>
      </c>
      <c r="M23" s="199"/>
      <c r="S23" s="184" t="s">
        <v>2419</v>
      </c>
    </row>
    <row r="24" spans="1:19" ht="16.5" customHeight="1" x14ac:dyDescent="0.2">
      <c r="A24" s="193">
        <v>16</v>
      </c>
      <c r="B24" s="184">
        <v>7670</v>
      </c>
      <c r="C24" s="210" t="s">
        <v>2612</v>
      </c>
      <c r="D24" s="288"/>
      <c r="E24" s="287"/>
      <c r="F24" s="194"/>
      <c r="G24" s="189"/>
      <c r="H24" s="190"/>
      <c r="I24" s="214" t="s">
        <v>396</v>
      </c>
      <c r="J24" s="215" t="s">
        <v>397</v>
      </c>
      <c r="K24" s="197">
        <v>1</v>
      </c>
      <c r="L24" s="198">
        <v>346</v>
      </c>
      <c r="M24" s="199"/>
      <c r="S24" s="184" t="s">
        <v>2420</v>
      </c>
    </row>
    <row r="25" spans="1:19" ht="16.5" customHeight="1" x14ac:dyDescent="0.2">
      <c r="A25" s="193">
        <v>16</v>
      </c>
      <c r="B25" s="184">
        <v>7671</v>
      </c>
      <c r="C25" s="210" t="s">
        <v>2613</v>
      </c>
      <c r="D25" s="288"/>
      <c r="E25" s="287"/>
      <c r="F25" s="262" t="s">
        <v>398</v>
      </c>
      <c r="G25" s="216" t="s">
        <v>397</v>
      </c>
      <c r="H25" s="201">
        <v>0.9</v>
      </c>
      <c r="I25" s="217"/>
      <c r="J25" s="196"/>
      <c r="K25" s="197"/>
      <c r="L25" s="198">
        <v>311</v>
      </c>
      <c r="M25" s="199"/>
      <c r="S25" s="184" t="s">
        <v>2421</v>
      </c>
    </row>
    <row r="26" spans="1:19" ht="16.5" customHeight="1" x14ac:dyDescent="0.2">
      <c r="A26" s="193">
        <v>16</v>
      </c>
      <c r="B26" s="184">
        <v>7672</v>
      </c>
      <c r="C26" s="210" t="s">
        <v>2614</v>
      </c>
      <c r="D26" s="218">
        <v>346</v>
      </c>
      <c r="E26" s="219" t="s">
        <v>394</v>
      </c>
      <c r="F26" s="289"/>
      <c r="G26" s="189"/>
      <c r="H26" s="190"/>
      <c r="I26" s="214" t="s">
        <v>396</v>
      </c>
      <c r="J26" s="215" t="s">
        <v>397</v>
      </c>
      <c r="K26" s="197">
        <v>1</v>
      </c>
      <c r="L26" s="198">
        <v>311</v>
      </c>
      <c r="M26" s="199"/>
      <c r="S26" s="184" t="s">
        <v>2422</v>
      </c>
    </row>
    <row r="27" spans="1:19" ht="16.5" customHeight="1" x14ac:dyDescent="0.2">
      <c r="A27" s="193">
        <v>16</v>
      </c>
      <c r="B27" s="184">
        <v>7673</v>
      </c>
      <c r="C27" s="210" t="s">
        <v>2615</v>
      </c>
      <c r="D27" s="264" t="s">
        <v>1927</v>
      </c>
      <c r="E27" s="290"/>
      <c r="F27" s="202"/>
      <c r="G27" s="200"/>
      <c r="H27" s="201"/>
      <c r="I27" s="217"/>
      <c r="J27" s="196"/>
      <c r="K27" s="197"/>
      <c r="L27" s="198">
        <v>415</v>
      </c>
      <c r="M27" s="199"/>
      <c r="S27" s="184" t="s">
        <v>2423</v>
      </c>
    </row>
    <row r="28" spans="1:19" ht="16.5" customHeight="1" x14ac:dyDescent="0.2">
      <c r="A28" s="193">
        <v>16</v>
      </c>
      <c r="B28" s="184">
        <v>7674</v>
      </c>
      <c r="C28" s="210" t="s">
        <v>2616</v>
      </c>
      <c r="D28" s="288"/>
      <c r="E28" s="287"/>
      <c r="F28" s="194"/>
      <c r="G28" s="189"/>
      <c r="H28" s="190"/>
      <c r="I28" s="214" t="s">
        <v>396</v>
      </c>
      <c r="J28" s="215" t="s">
        <v>397</v>
      </c>
      <c r="K28" s="197">
        <v>1</v>
      </c>
      <c r="L28" s="198">
        <v>415</v>
      </c>
      <c r="M28" s="199"/>
      <c r="S28" s="184" t="s">
        <v>2424</v>
      </c>
    </row>
    <row r="29" spans="1:19" ht="16.5" customHeight="1" x14ac:dyDescent="0.2">
      <c r="A29" s="193">
        <v>16</v>
      </c>
      <c r="B29" s="184">
        <v>7675</v>
      </c>
      <c r="C29" s="210" t="s">
        <v>2617</v>
      </c>
      <c r="D29" s="288"/>
      <c r="E29" s="287"/>
      <c r="F29" s="262" t="s">
        <v>398</v>
      </c>
      <c r="G29" s="216" t="s">
        <v>397</v>
      </c>
      <c r="H29" s="201">
        <v>0.9</v>
      </c>
      <c r="I29" s="217"/>
      <c r="J29" s="196"/>
      <c r="K29" s="197"/>
      <c r="L29" s="198">
        <v>374</v>
      </c>
      <c r="M29" s="199"/>
      <c r="S29" s="184" t="s">
        <v>2425</v>
      </c>
    </row>
    <row r="30" spans="1:19" ht="16.5" customHeight="1" x14ac:dyDescent="0.2">
      <c r="A30" s="193">
        <v>16</v>
      </c>
      <c r="B30" s="184">
        <v>7676</v>
      </c>
      <c r="C30" s="210" t="s">
        <v>2618</v>
      </c>
      <c r="D30" s="218">
        <v>415</v>
      </c>
      <c r="E30" s="219" t="s">
        <v>394</v>
      </c>
      <c r="F30" s="289"/>
      <c r="G30" s="189"/>
      <c r="H30" s="190"/>
      <c r="I30" s="214" t="s">
        <v>396</v>
      </c>
      <c r="J30" s="215" t="s">
        <v>397</v>
      </c>
      <c r="K30" s="197">
        <v>1</v>
      </c>
      <c r="L30" s="198">
        <v>374</v>
      </c>
      <c r="M30" s="199"/>
      <c r="S30" s="184" t="s">
        <v>2426</v>
      </c>
    </row>
    <row r="31" spans="1:19" ht="16.5" customHeight="1" x14ac:dyDescent="0.2">
      <c r="A31" s="193">
        <v>16</v>
      </c>
      <c r="B31" s="184">
        <v>7677</v>
      </c>
      <c r="C31" s="210" t="s">
        <v>2619</v>
      </c>
      <c r="D31" s="264" t="s">
        <v>1928</v>
      </c>
      <c r="E31" s="290"/>
      <c r="F31" s="202"/>
      <c r="G31" s="200"/>
      <c r="H31" s="201"/>
      <c r="I31" s="217"/>
      <c r="J31" s="196"/>
      <c r="K31" s="197"/>
      <c r="L31" s="198">
        <v>484</v>
      </c>
      <c r="M31" s="199"/>
      <c r="S31" s="184" t="s">
        <v>2427</v>
      </c>
    </row>
    <row r="32" spans="1:19" ht="16.5" customHeight="1" x14ac:dyDescent="0.2">
      <c r="A32" s="193">
        <v>16</v>
      </c>
      <c r="B32" s="184">
        <v>7678</v>
      </c>
      <c r="C32" s="210" t="s">
        <v>2620</v>
      </c>
      <c r="D32" s="288"/>
      <c r="E32" s="287"/>
      <c r="F32" s="194"/>
      <c r="G32" s="189"/>
      <c r="H32" s="190"/>
      <c r="I32" s="214" t="s">
        <v>396</v>
      </c>
      <c r="J32" s="215" t="s">
        <v>397</v>
      </c>
      <c r="K32" s="197">
        <v>1</v>
      </c>
      <c r="L32" s="198">
        <v>484</v>
      </c>
      <c r="M32" s="199"/>
      <c r="S32" s="184" t="s">
        <v>2428</v>
      </c>
    </row>
    <row r="33" spans="1:19" ht="16.5" customHeight="1" x14ac:dyDescent="0.2">
      <c r="A33" s="193">
        <v>16</v>
      </c>
      <c r="B33" s="184">
        <v>7679</v>
      </c>
      <c r="C33" s="210" t="s">
        <v>2621</v>
      </c>
      <c r="D33" s="288"/>
      <c r="E33" s="287"/>
      <c r="F33" s="262" t="s">
        <v>398</v>
      </c>
      <c r="G33" s="216" t="s">
        <v>397</v>
      </c>
      <c r="H33" s="201">
        <v>0.9</v>
      </c>
      <c r="I33" s="217"/>
      <c r="J33" s="196"/>
      <c r="K33" s="197"/>
      <c r="L33" s="198">
        <v>436</v>
      </c>
      <c r="M33" s="199"/>
      <c r="S33" s="184" t="s">
        <v>2429</v>
      </c>
    </row>
    <row r="34" spans="1:19" ht="16.5" customHeight="1" x14ac:dyDescent="0.2">
      <c r="A34" s="193">
        <v>16</v>
      </c>
      <c r="B34" s="184">
        <v>7680</v>
      </c>
      <c r="C34" s="210" t="s">
        <v>2622</v>
      </c>
      <c r="D34" s="218">
        <v>484</v>
      </c>
      <c r="E34" s="219" t="s">
        <v>394</v>
      </c>
      <c r="F34" s="289"/>
      <c r="G34" s="189"/>
      <c r="H34" s="190"/>
      <c r="I34" s="214" t="s">
        <v>396</v>
      </c>
      <c r="J34" s="215" t="s">
        <v>397</v>
      </c>
      <c r="K34" s="197">
        <v>1</v>
      </c>
      <c r="L34" s="198">
        <v>436</v>
      </c>
      <c r="M34" s="199"/>
      <c r="S34" s="184" t="s">
        <v>2430</v>
      </c>
    </row>
    <row r="35" spans="1:19" ht="16.5" customHeight="1" x14ac:dyDescent="0.2">
      <c r="A35" s="193">
        <v>16</v>
      </c>
      <c r="B35" s="184">
        <v>7681</v>
      </c>
      <c r="C35" s="210" t="s">
        <v>2623</v>
      </c>
      <c r="D35" s="264" t="s">
        <v>1929</v>
      </c>
      <c r="E35" s="290"/>
      <c r="F35" s="202"/>
      <c r="G35" s="200"/>
      <c r="H35" s="201"/>
      <c r="I35" s="217"/>
      <c r="J35" s="196"/>
      <c r="K35" s="197"/>
      <c r="L35" s="198">
        <v>553</v>
      </c>
      <c r="M35" s="199"/>
      <c r="S35" s="184" t="s">
        <v>2431</v>
      </c>
    </row>
    <row r="36" spans="1:19" ht="16.5" customHeight="1" x14ac:dyDescent="0.2">
      <c r="A36" s="193">
        <v>16</v>
      </c>
      <c r="B36" s="184">
        <v>7682</v>
      </c>
      <c r="C36" s="210" t="s">
        <v>2624</v>
      </c>
      <c r="D36" s="288"/>
      <c r="E36" s="287"/>
      <c r="F36" s="194"/>
      <c r="G36" s="189"/>
      <c r="H36" s="190"/>
      <c r="I36" s="214" t="s">
        <v>396</v>
      </c>
      <c r="J36" s="215" t="s">
        <v>397</v>
      </c>
      <c r="K36" s="197">
        <v>1</v>
      </c>
      <c r="L36" s="198">
        <v>553</v>
      </c>
      <c r="M36" s="199"/>
      <c r="S36" s="184" t="s">
        <v>2432</v>
      </c>
    </row>
    <row r="37" spans="1:19" ht="16.5" customHeight="1" x14ac:dyDescent="0.2">
      <c r="A37" s="193">
        <v>16</v>
      </c>
      <c r="B37" s="184">
        <v>7683</v>
      </c>
      <c r="C37" s="210" t="s">
        <v>2625</v>
      </c>
      <c r="D37" s="288"/>
      <c r="E37" s="287"/>
      <c r="F37" s="262" t="s">
        <v>398</v>
      </c>
      <c r="G37" s="216" t="s">
        <v>397</v>
      </c>
      <c r="H37" s="201">
        <v>0.9</v>
      </c>
      <c r="I37" s="217"/>
      <c r="J37" s="196"/>
      <c r="K37" s="197"/>
      <c r="L37" s="198">
        <v>498</v>
      </c>
      <c r="M37" s="199"/>
      <c r="S37" s="184" t="s">
        <v>2433</v>
      </c>
    </row>
    <row r="38" spans="1:19" ht="16.5" customHeight="1" x14ac:dyDescent="0.2">
      <c r="A38" s="193">
        <v>16</v>
      </c>
      <c r="B38" s="184">
        <v>7684</v>
      </c>
      <c r="C38" s="210" t="s">
        <v>2626</v>
      </c>
      <c r="D38" s="218">
        <v>553</v>
      </c>
      <c r="E38" s="219" t="s">
        <v>394</v>
      </c>
      <c r="F38" s="289"/>
      <c r="G38" s="189"/>
      <c r="H38" s="190"/>
      <c r="I38" s="214" t="s">
        <v>396</v>
      </c>
      <c r="J38" s="215" t="s">
        <v>397</v>
      </c>
      <c r="K38" s="197">
        <v>1</v>
      </c>
      <c r="L38" s="198">
        <v>498</v>
      </c>
      <c r="M38" s="199"/>
      <c r="S38" s="184" t="s">
        <v>2434</v>
      </c>
    </row>
    <row r="39" spans="1:19" ht="16.5" customHeight="1" x14ac:dyDescent="0.2">
      <c r="A39" s="193">
        <v>16</v>
      </c>
      <c r="B39" s="184">
        <v>7685</v>
      </c>
      <c r="C39" s="210" t="s">
        <v>2627</v>
      </c>
      <c r="D39" s="264" t="s">
        <v>1930</v>
      </c>
      <c r="E39" s="290"/>
      <c r="F39" s="202"/>
      <c r="G39" s="200"/>
      <c r="H39" s="201"/>
      <c r="I39" s="217"/>
      <c r="J39" s="196"/>
      <c r="K39" s="197"/>
      <c r="L39" s="198">
        <v>622</v>
      </c>
      <c r="M39" s="199"/>
      <c r="S39" s="184" t="s">
        <v>2435</v>
      </c>
    </row>
    <row r="40" spans="1:19" ht="16.5" customHeight="1" x14ac:dyDescent="0.2">
      <c r="A40" s="193">
        <v>16</v>
      </c>
      <c r="B40" s="184">
        <v>7686</v>
      </c>
      <c r="C40" s="210" t="s">
        <v>2628</v>
      </c>
      <c r="D40" s="288"/>
      <c r="E40" s="287"/>
      <c r="F40" s="194"/>
      <c r="G40" s="189"/>
      <c r="H40" s="190"/>
      <c r="I40" s="214" t="s">
        <v>396</v>
      </c>
      <c r="J40" s="215" t="s">
        <v>397</v>
      </c>
      <c r="K40" s="197">
        <v>1</v>
      </c>
      <c r="L40" s="198">
        <v>622</v>
      </c>
      <c r="M40" s="199"/>
      <c r="S40" s="184" t="s">
        <v>2436</v>
      </c>
    </row>
    <row r="41" spans="1:19" ht="16.5" customHeight="1" x14ac:dyDescent="0.2">
      <c r="A41" s="193">
        <v>16</v>
      </c>
      <c r="B41" s="184">
        <v>7687</v>
      </c>
      <c r="C41" s="210" t="s">
        <v>2629</v>
      </c>
      <c r="D41" s="288"/>
      <c r="E41" s="287"/>
      <c r="F41" s="262" t="s">
        <v>398</v>
      </c>
      <c r="G41" s="216" t="s">
        <v>397</v>
      </c>
      <c r="H41" s="201">
        <v>0.9</v>
      </c>
      <c r="I41" s="217"/>
      <c r="J41" s="196"/>
      <c r="K41" s="197"/>
      <c r="L41" s="198">
        <v>560</v>
      </c>
      <c r="M41" s="199"/>
      <c r="S41" s="184" t="s">
        <v>2437</v>
      </c>
    </row>
    <row r="42" spans="1:19" ht="16.5" customHeight="1" x14ac:dyDescent="0.2">
      <c r="A42" s="193">
        <v>16</v>
      </c>
      <c r="B42" s="184">
        <v>7688</v>
      </c>
      <c r="C42" s="210" t="s">
        <v>2630</v>
      </c>
      <c r="D42" s="220">
        <v>622</v>
      </c>
      <c r="E42" s="221" t="s">
        <v>394</v>
      </c>
      <c r="F42" s="289"/>
      <c r="G42" s="189"/>
      <c r="H42" s="190"/>
      <c r="I42" s="214" t="s">
        <v>396</v>
      </c>
      <c r="J42" s="215" t="s">
        <v>397</v>
      </c>
      <c r="K42" s="197">
        <v>1</v>
      </c>
      <c r="L42" s="198">
        <v>560</v>
      </c>
      <c r="M42" s="199"/>
      <c r="S42" s="184" t="s">
        <v>2438</v>
      </c>
    </row>
    <row r="43" spans="1:19" ht="16.5" customHeight="1" x14ac:dyDescent="0.2">
      <c r="A43" s="184">
        <v>16</v>
      </c>
      <c r="B43" s="184">
        <v>7689</v>
      </c>
      <c r="C43" s="207" t="s">
        <v>2631</v>
      </c>
      <c r="D43" s="259" t="s">
        <v>1931</v>
      </c>
      <c r="E43" s="287"/>
      <c r="F43" s="185"/>
      <c r="G43" s="186"/>
      <c r="H43" s="187"/>
      <c r="I43" s="194"/>
      <c r="J43" s="189"/>
      <c r="K43" s="190"/>
      <c r="L43" s="191">
        <v>691</v>
      </c>
      <c r="M43" s="192"/>
      <c r="S43" s="184" t="s">
        <v>2439</v>
      </c>
    </row>
    <row r="44" spans="1:19" ht="16.5" customHeight="1" x14ac:dyDescent="0.2">
      <c r="A44" s="193">
        <v>16</v>
      </c>
      <c r="B44" s="184">
        <v>7690</v>
      </c>
      <c r="C44" s="210" t="s">
        <v>2632</v>
      </c>
      <c r="D44" s="288"/>
      <c r="E44" s="287"/>
      <c r="F44" s="194"/>
      <c r="G44" s="189"/>
      <c r="H44" s="190"/>
      <c r="I44" s="214" t="s">
        <v>396</v>
      </c>
      <c r="J44" s="215" t="s">
        <v>397</v>
      </c>
      <c r="K44" s="197">
        <v>1</v>
      </c>
      <c r="L44" s="198">
        <v>691</v>
      </c>
      <c r="M44" s="199"/>
      <c r="S44" s="184" t="s">
        <v>2440</v>
      </c>
    </row>
    <row r="45" spans="1:19" ht="16.5" customHeight="1" x14ac:dyDescent="0.2">
      <c r="A45" s="193">
        <v>16</v>
      </c>
      <c r="B45" s="184">
        <v>7691</v>
      </c>
      <c r="C45" s="210" t="s">
        <v>2633</v>
      </c>
      <c r="D45" s="288"/>
      <c r="E45" s="287"/>
      <c r="F45" s="262" t="s">
        <v>398</v>
      </c>
      <c r="G45" s="216" t="s">
        <v>397</v>
      </c>
      <c r="H45" s="201">
        <v>0.9</v>
      </c>
      <c r="I45" s="217"/>
      <c r="J45" s="196"/>
      <c r="K45" s="197"/>
      <c r="L45" s="198">
        <v>622</v>
      </c>
      <c r="M45" s="199"/>
      <c r="S45" s="184" t="s">
        <v>2441</v>
      </c>
    </row>
    <row r="46" spans="1:19" ht="16.5" customHeight="1" x14ac:dyDescent="0.2">
      <c r="A46" s="193">
        <v>16</v>
      </c>
      <c r="B46" s="184">
        <v>7692</v>
      </c>
      <c r="C46" s="210" t="s">
        <v>2634</v>
      </c>
      <c r="D46" s="218">
        <v>691</v>
      </c>
      <c r="E46" s="219" t="s">
        <v>394</v>
      </c>
      <c r="F46" s="289"/>
      <c r="G46" s="189"/>
      <c r="H46" s="190"/>
      <c r="I46" s="214" t="s">
        <v>396</v>
      </c>
      <c r="J46" s="215" t="s">
        <v>397</v>
      </c>
      <c r="K46" s="197">
        <v>1</v>
      </c>
      <c r="L46" s="198">
        <v>622</v>
      </c>
      <c r="M46" s="199"/>
      <c r="S46" s="184" t="s">
        <v>2442</v>
      </c>
    </row>
    <row r="47" spans="1:19" ht="16.5" customHeight="1" x14ac:dyDescent="0.2">
      <c r="A47" s="193">
        <v>16</v>
      </c>
      <c r="B47" s="184">
        <v>7693</v>
      </c>
      <c r="C47" s="210" t="s">
        <v>2635</v>
      </c>
      <c r="D47" s="264" t="s">
        <v>1932</v>
      </c>
      <c r="E47" s="290"/>
      <c r="F47" s="202"/>
      <c r="G47" s="200"/>
      <c r="H47" s="201"/>
      <c r="I47" s="217"/>
      <c r="J47" s="196"/>
      <c r="K47" s="197"/>
      <c r="L47" s="198">
        <v>760</v>
      </c>
      <c r="M47" s="199"/>
      <c r="S47" s="184" t="s">
        <v>2443</v>
      </c>
    </row>
    <row r="48" spans="1:19" ht="16.5" customHeight="1" x14ac:dyDescent="0.2">
      <c r="A48" s="193">
        <v>16</v>
      </c>
      <c r="B48" s="184">
        <v>7694</v>
      </c>
      <c r="C48" s="210" t="s">
        <v>2636</v>
      </c>
      <c r="D48" s="288"/>
      <c r="E48" s="287"/>
      <c r="F48" s="194"/>
      <c r="G48" s="189"/>
      <c r="H48" s="190"/>
      <c r="I48" s="214" t="s">
        <v>396</v>
      </c>
      <c r="J48" s="215" t="s">
        <v>397</v>
      </c>
      <c r="K48" s="197">
        <v>1</v>
      </c>
      <c r="L48" s="198">
        <v>760</v>
      </c>
      <c r="M48" s="199"/>
      <c r="S48" s="184" t="s">
        <v>2444</v>
      </c>
    </row>
    <row r="49" spans="1:19" ht="16.5" customHeight="1" x14ac:dyDescent="0.2">
      <c r="A49" s="193">
        <v>16</v>
      </c>
      <c r="B49" s="184">
        <v>7695</v>
      </c>
      <c r="C49" s="210" t="s">
        <v>2637</v>
      </c>
      <c r="D49" s="288"/>
      <c r="E49" s="287"/>
      <c r="F49" s="262" t="s">
        <v>398</v>
      </c>
      <c r="G49" s="216" t="s">
        <v>397</v>
      </c>
      <c r="H49" s="201">
        <v>0.9</v>
      </c>
      <c r="I49" s="217"/>
      <c r="J49" s="196"/>
      <c r="K49" s="197"/>
      <c r="L49" s="198">
        <v>684</v>
      </c>
      <c r="M49" s="199"/>
      <c r="S49" s="184" t="s">
        <v>2445</v>
      </c>
    </row>
    <row r="50" spans="1:19" ht="16.5" customHeight="1" x14ac:dyDescent="0.2">
      <c r="A50" s="193">
        <v>16</v>
      </c>
      <c r="B50" s="184">
        <v>7696</v>
      </c>
      <c r="C50" s="210" t="s">
        <v>2638</v>
      </c>
      <c r="D50" s="218">
        <v>760</v>
      </c>
      <c r="E50" s="219" t="s">
        <v>394</v>
      </c>
      <c r="F50" s="289"/>
      <c r="G50" s="189"/>
      <c r="H50" s="190"/>
      <c r="I50" s="214" t="s">
        <v>396</v>
      </c>
      <c r="J50" s="215" t="s">
        <v>397</v>
      </c>
      <c r="K50" s="197">
        <v>1</v>
      </c>
      <c r="L50" s="198">
        <v>684</v>
      </c>
      <c r="M50" s="199"/>
      <c r="S50" s="184" t="s">
        <v>2446</v>
      </c>
    </row>
    <row r="51" spans="1:19" ht="16.5" customHeight="1" x14ac:dyDescent="0.2">
      <c r="A51" s="193">
        <v>16</v>
      </c>
      <c r="B51" s="184">
        <v>7697</v>
      </c>
      <c r="C51" s="210" t="s">
        <v>2639</v>
      </c>
      <c r="D51" s="264" t="s">
        <v>1933</v>
      </c>
      <c r="E51" s="290"/>
      <c r="F51" s="202"/>
      <c r="G51" s="200"/>
      <c r="H51" s="201"/>
      <c r="I51" s="217"/>
      <c r="J51" s="196"/>
      <c r="K51" s="197"/>
      <c r="L51" s="198">
        <v>829</v>
      </c>
      <c r="M51" s="199"/>
      <c r="S51" s="184" t="s">
        <v>2447</v>
      </c>
    </row>
    <row r="52" spans="1:19" ht="16.5" customHeight="1" x14ac:dyDescent="0.2">
      <c r="A52" s="193">
        <v>16</v>
      </c>
      <c r="B52" s="184">
        <v>7698</v>
      </c>
      <c r="C52" s="210" t="s">
        <v>2640</v>
      </c>
      <c r="D52" s="288"/>
      <c r="E52" s="287"/>
      <c r="F52" s="194"/>
      <c r="G52" s="189"/>
      <c r="H52" s="190"/>
      <c r="I52" s="214" t="s">
        <v>396</v>
      </c>
      <c r="J52" s="215" t="s">
        <v>397</v>
      </c>
      <c r="K52" s="197">
        <v>1</v>
      </c>
      <c r="L52" s="198">
        <v>829</v>
      </c>
      <c r="M52" s="199"/>
      <c r="S52" s="184" t="s">
        <v>2448</v>
      </c>
    </row>
    <row r="53" spans="1:19" ht="16.5" customHeight="1" x14ac:dyDescent="0.2">
      <c r="A53" s="193">
        <v>16</v>
      </c>
      <c r="B53" s="184">
        <v>7699</v>
      </c>
      <c r="C53" s="210" t="s">
        <v>2641</v>
      </c>
      <c r="D53" s="288"/>
      <c r="E53" s="287"/>
      <c r="F53" s="262" t="s">
        <v>398</v>
      </c>
      <c r="G53" s="216" t="s">
        <v>397</v>
      </c>
      <c r="H53" s="201">
        <v>0.9</v>
      </c>
      <c r="I53" s="217"/>
      <c r="J53" s="196"/>
      <c r="K53" s="197"/>
      <c r="L53" s="198">
        <v>746</v>
      </c>
      <c r="M53" s="199"/>
      <c r="S53" s="184" t="s">
        <v>2449</v>
      </c>
    </row>
    <row r="54" spans="1:19" ht="16.5" customHeight="1" x14ac:dyDescent="0.2">
      <c r="A54" s="193">
        <v>16</v>
      </c>
      <c r="B54" s="184">
        <v>7700</v>
      </c>
      <c r="C54" s="210" t="s">
        <v>2642</v>
      </c>
      <c r="D54" s="218">
        <v>829</v>
      </c>
      <c r="E54" s="219" t="s">
        <v>394</v>
      </c>
      <c r="F54" s="289"/>
      <c r="G54" s="189"/>
      <c r="H54" s="190"/>
      <c r="I54" s="214" t="s">
        <v>396</v>
      </c>
      <c r="J54" s="215" t="s">
        <v>397</v>
      </c>
      <c r="K54" s="197">
        <v>1</v>
      </c>
      <c r="L54" s="198">
        <v>746</v>
      </c>
      <c r="M54" s="199"/>
      <c r="S54" s="184" t="s">
        <v>2450</v>
      </c>
    </row>
    <row r="55" spans="1:19" ht="16.5" customHeight="1" x14ac:dyDescent="0.2">
      <c r="A55" s="193">
        <v>16</v>
      </c>
      <c r="B55" s="184">
        <v>7701</v>
      </c>
      <c r="C55" s="210" t="s">
        <v>2643</v>
      </c>
      <c r="D55" s="264" t="s">
        <v>1934</v>
      </c>
      <c r="E55" s="290"/>
      <c r="F55" s="202"/>
      <c r="G55" s="200"/>
      <c r="H55" s="201"/>
      <c r="I55" s="217"/>
      <c r="J55" s="196"/>
      <c r="K55" s="197"/>
      <c r="L55" s="198">
        <v>898</v>
      </c>
      <c r="M55" s="199"/>
      <c r="S55" s="184" t="s">
        <v>2451</v>
      </c>
    </row>
    <row r="56" spans="1:19" ht="16.5" customHeight="1" x14ac:dyDescent="0.2">
      <c r="A56" s="193">
        <v>16</v>
      </c>
      <c r="B56" s="184">
        <v>7702</v>
      </c>
      <c r="C56" s="210" t="s">
        <v>2644</v>
      </c>
      <c r="D56" s="288"/>
      <c r="E56" s="287"/>
      <c r="F56" s="194"/>
      <c r="G56" s="189"/>
      <c r="H56" s="190"/>
      <c r="I56" s="214" t="s">
        <v>396</v>
      </c>
      <c r="J56" s="215" t="s">
        <v>397</v>
      </c>
      <c r="K56" s="197">
        <v>1</v>
      </c>
      <c r="L56" s="198">
        <v>898</v>
      </c>
      <c r="M56" s="199"/>
      <c r="S56" s="184" t="s">
        <v>2452</v>
      </c>
    </row>
    <row r="57" spans="1:19" ht="16.5" customHeight="1" x14ac:dyDescent="0.2">
      <c r="A57" s="193">
        <v>16</v>
      </c>
      <c r="B57" s="184">
        <v>7703</v>
      </c>
      <c r="C57" s="210" t="s">
        <v>2645</v>
      </c>
      <c r="D57" s="288"/>
      <c r="E57" s="287"/>
      <c r="F57" s="262" t="s">
        <v>398</v>
      </c>
      <c r="G57" s="216" t="s">
        <v>397</v>
      </c>
      <c r="H57" s="201">
        <v>0.9</v>
      </c>
      <c r="I57" s="217"/>
      <c r="J57" s="196"/>
      <c r="K57" s="197"/>
      <c r="L57" s="198">
        <v>808</v>
      </c>
      <c r="M57" s="199"/>
      <c r="S57" s="184" t="s">
        <v>2453</v>
      </c>
    </row>
    <row r="58" spans="1:19" ht="16.5" customHeight="1" x14ac:dyDescent="0.2">
      <c r="A58" s="193">
        <v>16</v>
      </c>
      <c r="B58" s="184">
        <v>7704</v>
      </c>
      <c r="C58" s="210" t="s">
        <v>2646</v>
      </c>
      <c r="D58" s="218">
        <v>898</v>
      </c>
      <c r="E58" s="219" t="s">
        <v>394</v>
      </c>
      <c r="F58" s="289"/>
      <c r="G58" s="189"/>
      <c r="H58" s="190"/>
      <c r="I58" s="214" t="s">
        <v>396</v>
      </c>
      <c r="J58" s="215" t="s">
        <v>397</v>
      </c>
      <c r="K58" s="197">
        <v>1</v>
      </c>
      <c r="L58" s="198">
        <v>808</v>
      </c>
      <c r="M58" s="199"/>
      <c r="S58" s="184" t="s">
        <v>2454</v>
      </c>
    </row>
    <row r="59" spans="1:19" ht="16.5" customHeight="1" x14ac:dyDescent="0.2">
      <c r="A59" s="193">
        <v>16</v>
      </c>
      <c r="B59" s="184">
        <v>7705</v>
      </c>
      <c r="C59" s="210" t="s">
        <v>2647</v>
      </c>
      <c r="D59" s="264" t="s">
        <v>1935</v>
      </c>
      <c r="E59" s="290"/>
      <c r="F59" s="202"/>
      <c r="G59" s="200"/>
      <c r="H59" s="201"/>
      <c r="I59" s="217"/>
      <c r="J59" s="196"/>
      <c r="K59" s="197"/>
      <c r="L59" s="198">
        <v>967</v>
      </c>
      <c r="M59" s="199"/>
      <c r="S59" s="184" t="s">
        <v>2455</v>
      </c>
    </row>
    <row r="60" spans="1:19" ht="16.5" customHeight="1" x14ac:dyDescent="0.2">
      <c r="A60" s="193">
        <v>16</v>
      </c>
      <c r="B60" s="184">
        <v>7706</v>
      </c>
      <c r="C60" s="210" t="s">
        <v>2648</v>
      </c>
      <c r="D60" s="288"/>
      <c r="E60" s="287"/>
      <c r="F60" s="194"/>
      <c r="G60" s="189"/>
      <c r="H60" s="190"/>
      <c r="I60" s="214" t="s">
        <v>396</v>
      </c>
      <c r="J60" s="215" t="s">
        <v>397</v>
      </c>
      <c r="K60" s="197">
        <v>1</v>
      </c>
      <c r="L60" s="198">
        <v>967</v>
      </c>
      <c r="M60" s="199"/>
      <c r="S60" s="184" t="s">
        <v>2456</v>
      </c>
    </row>
    <row r="61" spans="1:19" ht="16.5" customHeight="1" x14ac:dyDescent="0.2">
      <c r="A61" s="193">
        <v>16</v>
      </c>
      <c r="B61" s="184">
        <v>7707</v>
      </c>
      <c r="C61" s="210" t="s">
        <v>2649</v>
      </c>
      <c r="D61" s="288"/>
      <c r="E61" s="287"/>
      <c r="F61" s="262" t="s">
        <v>398</v>
      </c>
      <c r="G61" s="216" t="s">
        <v>397</v>
      </c>
      <c r="H61" s="201">
        <v>0.9</v>
      </c>
      <c r="I61" s="217"/>
      <c r="J61" s="196"/>
      <c r="K61" s="197"/>
      <c r="L61" s="198">
        <v>870</v>
      </c>
      <c r="M61" s="199"/>
      <c r="S61" s="184" t="s">
        <v>2457</v>
      </c>
    </row>
    <row r="62" spans="1:19" ht="16.5" customHeight="1" x14ac:dyDescent="0.2">
      <c r="A62" s="193">
        <v>16</v>
      </c>
      <c r="B62" s="184">
        <v>7708</v>
      </c>
      <c r="C62" s="210" t="s">
        <v>2650</v>
      </c>
      <c r="D62" s="218">
        <v>967</v>
      </c>
      <c r="E62" s="219" t="s">
        <v>394</v>
      </c>
      <c r="F62" s="289"/>
      <c r="G62" s="189"/>
      <c r="H62" s="190"/>
      <c r="I62" s="214" t="s">
        <v>396</v>
      </c>
      <c r="J62" s="215" t="s">
        <v>397</v>
      </c>
      <c r="K62" s="197">
        <v>1</v>
      </c>
      <c r="L62" s="198">
        <v>870</v>
      </c>
      <c r="M62" s="199"/>
      <c r="S62" s="184" t="s">
        <v>2458</v>
      </c>
    </row>
    <row r="63" spans="1:19" ht="16.5" customHeight="1" x14ac:dyDescent="0.2">
      <c r="A63" s="193">
        <v>16</v>
      </c>
      <c r="B63" s="184">
        <v>7709</v>
      </c>
      <c r="C63" s="210" t="s">
        <v>2651</v>
      </c>
      <c r="D63" s="264" t="s">
        <v>1936</v>
      </c>
      <c r="E63" s="290"/>
      <c r="F63" s="202"/>
      <c r="G63" s="200"/>
      <c r="H63" s="201"/>
      <c r="I63" s="217"/>
      <c r="J63" s="196"/>
      <c r="K63" s="197"/>
      <c r="L63" s="198">
        <v>1036</v>
      </c>
      <c r="M63" s="199"/>
      <c r="S63" s="184" t="s">
        <v>2459</v>
      </c>
    </row>
    <row r="64" spans="1:19" ht="16.5" customHeight="1" x14ac:dyDescent="0.2">
      <c r="A64" s="193">
        <v>16</v>
      </c>
      <c r="B64" s="184">
        <v>7710</v>
      </c>
      <c r="C64" s="210" t="s">
        <v>2652</v>
      </c>
      <c r="D64" s="288"/>
      <c r="E64" s="287"/>
      <c r="F64" s="194"/>
      <c r="G64" s="189"/>
      <c r="H64" s="190"/>
      <c r="I64" s="214" t="s">
        <v>396</v>
      </c>
      <c r="J64" s="215" t="s">
        <v>397</v>
      </c>
      <c r="K64" s="197">
        <v>1</v>
      </c>
      <c r="L64" s="198">
        <v>1036</v>
      </c>
      <c r="M64" s="199"/>
      <c r="S64" s="184" t="s">
        <v>2460</v>
      </c>
    </row>
    <row r="65" spans="1:19" ht="16.5" customHeight="1" x14ac:dyDescent="0.2">
      <c r="A65" s="193">
        <v>16</v>
      </c>
      <c r="B65" s="184">
        <v>7711</v>
      </c>
      <c r="C65" s="210" t="s">
        <v>2653</v>
      </c>
      <c r="D65" s="288"/>
      <c r="E65" s="287"/>
      <c r="F65" s="262" t="s">
        <v>398</v>
      </c>
      <c r="G65" s="216" t="s">
        <v>397</v>
      </c>
      <c r="H65" s="201">
        <v>0.9</v>
      </c>
      <c r="I65" s="217"/>
      <c r="J65" s="196"/>
      <c r="K65" s="197"/>
      <c r="L65" s="198">
        <v>932</v>
      </c>
      <c r="M65" s="199"/>
      <c r="S65" s="184" t="s">
        <v>2461</v>
      </c>
    </row>
    <row r="66" spans="1:19" ht="16.5" customHeight="1" x14ac:dyDescent="0.2">
      <c r="A66" s="193">
        <v>16</v>
      </c>
      <c r="B66" s="184">
        <v>7712</v>
      </c>
      <c r="C66" s="210" t="s">
        <v>2654</v>
      </c>
      <c r="D66" s="218">
        <v>1036</v>
      </c>
      <c r="E66" s="219" t="s">
        <v>394</v>
      </c>
      <c r="F66" s="289"/>
      <c r="G66" s="189"/>
      <c r="H66" s="190"/>
      <c r="I66" s="214" t="s">
        <v>396</v>
      </c>
      <c r="J66" s="215" t="s">
        <v>397</v>
      </c>
      <c r="K66" s="197">
        <v>1</v>
      </c>
      <c r="L66" s="198">
        <v>932</v>
      </c>
      <c r="M66" s="199"/>
      <c r="S66" s="184" t="s">
        <v>2462</v>
      </c>
    </row>
    <row r="67" spans="1:19" ht="16.5" customHeight="1" x14ac:dyDescent="0.2">
      <c r="A67" s="193">
        <v>16</v>
      </c>
      <c r="B67" s="184">
        <v>7713</v>
      </c>
      <c r="C67" s="210" t="s">
        <v>2655</v>
      </c>
      <c r="D67" s="264" t="s">
        <v>1937</v>
      </c>
      <c r="E67" s="290"/>
      <c r="F67" s="202"/>
      <c r="G67" s="200"/>
      <c r="H67" s="201"/>
      <c r="I67" s="217"/>
      <c r="J67" s="196"/>
      <c r="K67" s="197"/>
      <c r="L67" s="198">
        <v>1105</v>
      </c>
      <c r="M67" s="199"/>
      <c r="S67" s="184" t="s">
        <v>2463</v>
      </c>
    </row>
    <row r="68" spans="1:19" ht="16.5" customHeight="1" x14ac:dyDescent="0.2">
      <c r="A68" s="193">
        <v>16</v>
      </c>
      <c r="B68" s="184">
        <v>7714</v>
      </c>
      <c r="C68" s="210" t="s">
        <v>2656</v>
      </c>
      <c r="D68" s="288"/>
      <c r="E68" s="287"/>
      <c r="F68" s="194"/>
      <c r="G68" s="189"/>
      <c r="H68" s="190"/>
      <c r="I68" s="214" t="s">
        <v>396</v>
      </c>
      <c r="J68" s="215" t="s">
        <v>397</v>
      </c>
      <c r="K68" s="197">
        <v>1</v>
      </c>
      <c r="L68" s="198">
        <v>1105</v>
      </c>
      <c r="M68" s="199"/>
      <c r="S68" s="184" t="s">
        <v>2464</v>
      </c>
    </row>
    <row r="69" spans="1:19" ht="16.5" customHeight="1" x14ac:dyDescent="0.2">
      <c r="A69" s="193">
        <v>16</v>
      </c>
      <c r="B69" s="184">
        <v>7715</v>
      </c>
      <c r="C69" s="210" t="s">
        <v>2657</v>
      </c>
      <c r="D69" s="288"/>
      <c r="E69" s="287"/>
      <c r="F69" s="262" t="s">
        <v>398</v>
      </c>
      <c r="G69" s="216" t="s">
        <v>397</v>
      </c>
      <c r="H69" s="201">
        <v>0.9</v>
      </c>
      <c r="I69" s="217"/>
      <c r="J69" s="196"/>
      <c r="K69" s="197"/>
      <c r="L69" s="198">
        <v>995</v>
      </c>
      <c r="M69" s="199"/>
      <c r="S69" s="184" t="s">
        <v>2465</v>
      </c>
    </row>
    <row r="70" spans="1:19" ht="16.5" customHeight="1" x14ac:dyDescent="0.2">
      <c r="A70" s="193">
        <v>16</v>
      </c>
      <c r="B70" s="184">
        <v>7716</v>
      </c>
      <c r="C70" s="210" t="s">
        <v>2658</v>
      </c>
      <c r="D70" s="220">
        <v>1105</v>
      </c>
      <c r="E70" s="221" t="s">
        <v>394</v>
      </c>
      <c r="F70" s="289"/>
      <c r="G70" s="189"/>
      <c r="H70" s="190"/>
      <c r="I70" s="214" t="s">
        <v>396</v>
      </c>
      <c r="J70" s="215" t="s">
        <v>397</v>
      </c>
      <c r="K70" s="197">
        <v>1</v>
      </c>
      <c r="L70" s="198">
        <v>995</v>
      </c>
      <c r="M70" s="205"/>
      <c r="S70" s="184" t="s">
        <v>2466</v>
      </c>
    </row>
    <row r="71" spans="1:19" ht="16.5" customHeight="1" x14ac:dyDescent="0.2">
      <c r="A71" s="193">
        <v>16</v>
      </c>
      <c r="B71" s="193">
        <v>7717</v>
      </c>
      <c r="C71" s="210" t="s">
        <v>2659</v>
      </c>
      <c r="D71" s="264" t="s">
        <v>1938</v>
      </c>
      <c r="E71" s="290"/>
      <c r="F71" s="202"/>
      <c r="G71" s="200"/>
      <c r="H71" s="201"/>
      <c r="I71" s="217"/>
      <c r="J71" s="196"/>
      <c r="K71" s="197"/>
      <c r="L71" s="198">
        <v>1174</v>
      </c>
      <c r="M71" s="206" t="s">
        <v>395</v>
      </c>
      <c r="S71" s="193" t="s">
        <v>2467</v>
      </c>
    </row>
    <row r="72" spans="1:19" ht="16.5" customHeight="1" x14ac:dyDescent="0.2">
      <c r="A72" s="193">
        <v>16</v>
      </c>
      <c r="B72" s="184">
        <v>7718</v>
      </c>
      <c r="C72" s="210" t="s">
        <v>2660</v>
      </c>
      <c r="D72" s="288"/>
      <c r="E72" s="287"/>
      <c r="F72" s="194"/>
      <c r="G72" s="189"/>
      <c r="H72" s="190"/>
      <c r="I72" s="214" t="s">
        <v>396</v>
      </c>
      <c r="J72" s="215" t="s">
        <v>397</v>
      </c>
      <c r="K72" s="197">
        <v>1</v>
      </c>
      <c r="L72" s="198">
        <v>1174</v>
      </c>
      <c r="M72" s="199"/>
      <c r="S72" s="184" t="s">
        <v>2468</v>
      </c>
    </row>
    <row r="73" spans="1:19" ht="16.5" customHeight="1" x14ac:dyDescent="0.2">
      <c r="A73" s="193">
        <v>16</v>
      </c>
      <c r="B73" s="184">
        <v>7719</v>
      </c>
      <c r="C73" s="210" t="s">
        <v>2661</v>
      </c>
      <c r="D73" s="288"/>
      <c r="E73" s="287"/>
      <c r="F73" s="262" t="s">
        <v>398</v>
      </c>
      <c r="G73" s="216" t="s">
        <v>397</v>
      </c>
      <c r="H73" s="201">
        <v>0.9</v>
      </c>
      <c r="I73" s="217"/>
      <c r="J73" s="196"/>
      <c r="K73" s="197"/>
      <c r="L73" s="198">
        <v>1057</v>
      </c>
      <c r="M73" s="199"/>
      <c r="S73" s="184" t="s">
        <v>2469</v>
      </c>
    </row>
    <row r="74" spans="1:19" ht="16.5" customHeight="1" x14ac:dyDescent="0.2">
      <c r="A74" s="193">
        <v>16</v>
      </c>
      <c r="B74" s="184">
        <v>7720</v>
      </c>
      <c r="C74" s="210" t="s">
        <v>2662</v>
      </c>
      <c r="D74" s="218">
        <v>1174</v>
      </c>
      <c r="E74" s="219" t="s">
        <v>394</v>
      </c>
      <c r="F74" s="289"/>
      <c r="G74" s="189"/>
      <c r="H74" s="190"/>
      <c r="I74" s="214" t="s">
        <v>396</v>
      </c>
      <c r="J74" s="215" t="s">
        <v>397</v>
      </c>
      <c r="K74" s="197">
        <v>1</v>
      </c>
      <c r="L74" s="198">
        <v>1057</v>
      </c>
      <c r="M74" s="199"/>
      <c r="S74" s="184" t="s">
        <v>2470</v>
      </c>
    </row>
    <row r="75" spans="1:19" ht="16.5" customHeight="1" x14ac:dyDescent="0.2">
      <c r="A75" s="193">
        <v>16</v>
      </c>
      <c r="B75" s="184">
        <v>7721</v>
      </c>
      <c r="C75" s="210" t="s">
        <v>2663</v>
      </c>
      <c r="D75" s="264" t="s">
        <v>1939</v>
      </c>
      <c r="E75" s="290"/>
      <c r="F75" s="202"/>
      <c r="G75" s="200"/>
      <c r="H75" s="201"/>
      <c r="I75" s="217"/>
      <c r="J75" s="196"/>
      <c r="K75" s="197"/>
      <c r="L75" s="198">
        <v>1243</v>
      </c>
      <c r="M75" s="199"/>
      <c r="S75" s="184" t="s">
        <v>2471</v>
      </c>
    </row>
    <row r="76" spans="1:19" ht="16.5" customHeight="1" x14ac:dyDescent="0.2">
      <c r="A76" s="193">
        <v>16</v>
      </c>
      <c r="B76" s="184">
        <v>7722</v>
      </c>
      <c r="C76" s="210" t="s">
        <v>2664</v>
      </c>
      <c r="D76" s="288"/>
      <c r="E76" s="287"/>
      <c r="F76" s="194"/>
      <c r="G76" s="189"/>
      <c r="H76" s="190"/>
      <c r="I76" s="214" t="s">
        <v>396</v>
      </c>
      <c r="J76" s="215" t="s">
        <v>397</v>
      </c>
      <c r="K76" s="197">
        <v>1</v>
      </c>
      <c r="L76" s="198">
        <v>1243</v>
      </c>
      <c r="M76" s="199"/>
      <c r="S76" s="184" t="s">
        <v>2472</v>
      </c>
    </row>
    <row r="77" spans="1:19" ht="16.5" customHeight="1" x14ac:dyDescent="0.2">
      <c r="A77" s="193">
        <v>16</v>
      </c>
      <c r="B77" s="184">
        <v>7723</v>
      </c>
      <c r="C77" s="210" t="s">
        <v>2665</v>
      </c>
      <c r="D77" s="288"/>
      <c r="E77" s="287"/>
      <c r="F77" s="262" t="s">
        <v>398</v>
      </c>
      <c r="G77" s="216" t="s">
        <v>397</v>
      </c>
      <c r="H77" s="201">
        <v>0.9</v>
      </c>
      <c r="I77" s="217"/>
      <c r="J77" s="196"/>
      <c r="K77" s="197"/>
      <c r="L77" s="198">
        <v>1119</v>
      </c>
      <c r="M77" s="199"/>
      <c r="S77" s="184" t="s">
        <v>2473</v>
      </c>
    </row>
    <row r="78" spans="1:19" ht="16.5" customHeight="1" x14ac:dyDescent="0.2">
      <c r="A78" s="193">
        <v>16</v>
      </c>
      <c r="B78" s="184">
        <v>7724</v>
      </c>
      <c r="C78" s="210" t="s">
        <v>2666</v>
      </c>
      <c r="D78" s="220">
        <v>1243</v>
      </c>
      <c r="E78" s="221" t="s">
        <v>394</v>
      </c>
      <c r="F78" s="289"/>
      <c r="G78" s="189"/>
      <c r="H78" s="190"/>
      <c r="I78" s="214" t="s">
        <v>396</v>
      </c>
      <c r="J78" s="215" t="s">
        <v>397</v>
      </c>
      <c r="K78" s="197">
        <v>1</v>
      </c>
      <c r="L78" s="198">
        <v>1119</v>
      </c>
      <c r="M78" s="199"/>
      <c r="S78" s="184" t="s">
        <v>2474</v>
      </c>
    </row>
    <row r="79" spans="1:19" ht="16.5" customHeight="1" x14ac:dyDescent="0.2">
      <c r="A79" s="184">
        <v>16</v>
      </c>
      <c r="B79" s="184">
        <v>7725</v>
      </c>
      <c r="C79" s="207" t="s">
        <v>2667</v>
      </c>
      <c r="D79" s="259" t="s">
        <v>1940</v>
      </c>
      <c r="E79" s="287"/>
      <c r="F79" s="185"/>
      <c r="G79" s="186"/>
      <c r="H79" s="187"/>
      <c r="I79" s="194"/>
      <c r="J79" s="189"/>
      <c r="K79" s="190"/>
      <c r="L79" s="191">
        <v>1312</v>
      </c>
      <c r="M79" s="192"/>
      <c r="S79" s="184" t="s">
        <v>2475</v>
      </c>
    </row>
    <row r="80" spans="1:19" ht="16.5" customHeight="1" x14ac:dyDescent="0.2">
      <c r="A80" s="193">
        <v>16</v>
      </c>
      <c r="B80" s="184">
        <v>7726</v>
      </c>
      <c r="C80" s="210" t="s">
        <v>2668</v>
      </c>
      <c r="D80" s="288"/>
      <c r="E80" s="287"/>
      <c r="F80" s="194"/>
      <c r="G80" s="189"/>
      <c r="H80" s="190"/>
      <c r="I80" s="214" t="s">
        <v>396</v>
      </c>
      <c r="J80" s="215" t="s">
        <v>397</v>
      </c>
      <c r="K80" s="197">
        <v>1</v>
      </c>
      <c r="L80" s="198">
        <v>1312</v>
      </c>
      <c r="M80" s="199"/>
      <c r="S80" s="184" t="s">
        <v>2476</v>
      </c>
    </row>
    <row r="81" spans="1:19" ht="16.5" customHeight="1" x14ac:dyDescent="0.2">
      <c r="A81" s="193">
        <v>16</v>
      </c>
      <c r="B81" s="184">
        <v>7727</v>
      </c>
      <c r="C81" s="210" t="s">
        <v>2669</v>
      </c>
      <c r="D81" s="288"/>
      <c r="E81" s="287"/>
      <c r="F81" s="262" t="s">
        <v>398</v>
      </c>
      <c r="G81" s="216" t="s">
        <v>397</v>
      </c>
      <c r="H81" s="201">
        <v>0.9</v>
      </c>
      <c r="I81" s="217"/>
      <c r="J81" s="196"/>
      <c r="K81" s="197"/>
      <c r="L81" s="198">
        <v>1181</v>
      </c>
      <c r="M81" s="199"/>
      <c r="S81" s="184" t="s">
        <v>2477</v>
      </c>
    </row>
    <row r="82" spans="1:19" ht="16.5" customHeight="1" x14ac:dyDescent="0.2">
      <c r="A82" s="193">
        <v>16</v>
      </c>
      <c r="B82" s="184">
        <v>7728</v>
      </c>
      <c r="C82" s="210" t="s">
        <v>2670</v>
      </c>
      <c r="D82" s="218">
        <v>1312</v>
      </c>
      <c r="E82" s="219" t="s">
        <v>394</v>
      </c>
      <c r="F82" s="289"/>
      <c r="G82" s="189"/>
      <c r="H82" s="190"/>
      <c r="I82" s="214" t="s">
        <v>396</v>
      </c>
      <c r="J82" s="215" t="s">
        <v>397</v>
      </c>
      <c r="K82" s="197">
        <v>1</v>
      </c>
      <c r="L82" s="198">
        <v>1181</v>
      </c>
      <c r="M82" s="199"/>
      <c r="S82" s="184" t="s">
        <v>2478</v>
      </c>
    </row>
    <row r="83" spans="1:19" ht="16.5" customHeight="1" x14ac:dyDescent="0.2">
      <c r="A83" s="193">
        <v>16</v>
      </c>
      <c r="B83" s="184">
        <v>7729</v>
      </c>
      <c r="C83" s="210" t="s">
        <v>2671</v>
      </c>
      <c r="D83" s="264" t="s">
        <v>1941</v>
      </c>
      <c r="E83" s="290"/>
      <c r="F83" s="202"/>
      <c r="G83" s="200"/>
      <c r="H83" s="201"/>
      <c r="I83" s="217"/>
      <c r="J83" s="196"/>
      <c r="K83" s="197"/>
      <c r="L83" s="198">
        <v>1381</v>
      </c>
      <c r="M83" s="199"/>
      <c r="S83" s="184" t="s">
        <v>2479</v>
      </c>
    </row>
    <row r="84" spans="1:19" ht="16.5" customHeight="1" x14ac:dyDescent="0.2">
      <c r="A84" s="193">
        <v>16</v>
      </c>
      <c r="B84" s="184">
        <v>7730</v>
      </c>
      <c r="C84" s="210" t="s">
        <v>2672</v>
      </c>
      <c r="D84" s="288"/>
      <c r="E84" s="287"/>
      <c r="F84" s="194"/>
      <c r="G84" s="189"/>
      <c r="H84" s="190"/>
      <c r="I84" s="214" t="s">
        <v>396</v>
      </c>
      <c r="J84" s="215" t="s">
        <v>397</v>
      </c>
      <c r="K84" s="197">
        <v>1</v>
      </c>
      <c r="L84" s="198">
        <v>1381</v>
      </c>
      <c r="M84" s="199"/>
      <c r="S84" s="184" t="s">
        <v>2480</v>
      </c>
    </row>
    <row r="85" spans="1:19" ht="16.5" customHeight="1" x14ac:dyDescent="0.2">
      <c r="A85" s="193">
        <v>16</v>
      </c>
      <c r="B85" s="184">
        <v>7731</v>
      </c>
      <c r="C85" s="210" t="s">
        <v>2673</v>
      </c>
      <c r="D85" s="288"/>
      <c r="E85" s="287"/>
      <c r="F85" s="262" t="s">
        <v>398</v>
      </c>
      <c r="G85" s="216" t="s">
        <v>397</v>
      </c>
      <c r="H85" s="201">
        <v>0.9</v>
      </c>
      <c r="I85" s="217"/>
      <c r="J85" s="196"/>
      <c r="K85" s="197"/>
      <c r="L85" s="198">
        <v>1243</v>
      </c>
      <c r="M85" s="199"/>
      <c r="S85" s="184" t="s">
        <v>2481</v>
      </c>
    </row>
    <row r="86" spans="1:19" ht="16.5" customHeight="1" x14ac:dyDescent="0.2">
      <c r="A86" s="193">
        <v>16</v>
      </c>
      <c r="B86" s="184">
        <v>7732</v>
      </c>
      <c r="C86" s="210" t="s">
        <v>2674</v>
      </c>
      <c r="D86" s="218">
        <v>1381</v>
      </c>
      <c r="E86" s="219" t="s">
        <v>394</v>
      </c>
      <c r="F86" s="289"/>
      <c r="G86" s="189"/>
      <c r="H86" s="190"/>
      <c r="I86" s="214" t="s">
        <v>396</v>
      </c>
      <c r="J86" s="215" t="s">
        <v>397</v>
      </c>
      <c r="K86" s="197">
        <v>1</v>
      </c>
      <c r="L86" s="198">
        <v>1243</v>
      </c>
      <c r="M86" s="199"/>
      <c r="S86" s="184" t="s">
        <v>2482</v>
      </c>
    </row>
    <row r="87" spans="1:19" ht="16.5" customHeight="1" x14ac:dyDescent="0.2">
      <c r="A87" s="193">
        <v>16</v>
      </c>
      <c r="B87" s="184">
        <v>7733</v>
      </c>
      <c r="C87" s="210" t="s">
        <v>2675</v>
      </c>
      <c r="D87" s="264" t="s">
        <v>1942</v>
      </c>
      <c r="E87" s="290"/>
      <c r="F87" s="202"/>
      <c r="G87" s="200"/>
      <c r="H87" s="201"/>
      <c r="I87" s="217"/>
      <c r="J87" s="196"/>
      <c r="K87" s="197"/>
      <c r="L87" s="198">
        <v>1450</v>
      </c>
      <c r="M87" s="199"/>
      <c r="S87" s="184" t="s">
        <v>2483</v>
      </c>
    </row>
    <row r="88" spans="1:19" ht="16.5" customHeight="1" x14ac:dyDescent="0.2">
      <c r="A88" s="193">
        <v>16</v>
      </c>
      <c r="B88" s="184">
        <v>7734</v>
      </c>
      <c r="C88" s="210" t="s">
        <v>2676</v>
      </c>
      <c r="D88" s="288"/>
      <c r="E88" s="287"/>
      <c r="F88" s="194"/>
      <c r="G88" s="189"/>
      <c r="H88" s="190"/>
      <c r="I88" s="214" t="s">
        <v>396</v>
      </c>
      <c r="J88" s="215" t="s">
        <v>397</v>
      </c>
      <c r="K88" s="197">
        <v>1</v>
      </c>
      <c r="L88" s="198">
        <v>1450</v>
      </c>
      <c r="M88" s="199"/>
      <c r="S88" s="184" t="s">
        <v>2484</v>
      </c>
    </row>
    <row r="89" spans="1:19" ht="16.5" customHeight="1" x14ac:dyDescent="0.2">
      <c r="A89" s="193">
        <v>16</v>
      </c>
      <c r="B89" s="184">
        <v>7735</v>
      </c>
      <c r="C89" s="210" t="s">
        <v>2677</v>
      </c>
      <c r="D89" s="288"/>
      <c r="E89" s="287"/>
      <c r="F89" s="262" t="s">
        <v>398</v>
      </c>
      <c r="G89" s="216" t="s">
        <v>397</v>
      </c>
      <c r="H89" s="201">
        <v>0.9</v>
      </c>
      <c r="I89" s="217"/>
      <c r="J89" s="196"/>
      <c r="K89" s="197"/>
      <c r="L89" s="198">
        <v>1305</v>
      </c>
      <c r="M89" s="199"/>
      <c r="S89" s="184" t="s">
        <v>2485</v>
      </c>
    </row>
    <row r="90" spans="1:19" ht="16.5" customHeight="1" x14ac:dyDescent="0.2">
      <c r="A90" s="193">
        <v>16</v>
      </c>
      <c r="B90" s="184">
        <v>7736</v>
      </c>
      <c r="C90" s="210" t="s">
        <v>2678</v>
      </c>
      <c r="D90" s="220">
        <v>1450</v>
      </c>
      <c r="E90" s="221" t="s">
        <v>394</v>
      </c>
      <c r="F90" s="289"/>
      <c r="G90" s="189"/>
      <c r="H90" s="190"/>
      <c r="I90" s="214" t="s">
        <v>396</v>
      </c>
      <c r="J90" s="215" t="s">
        <v>397</v>
      </c>
      <c r="K90" s="197">
        <v>1</v>
      </c>
      <c r="L90" s="198">
        <v>1305</v>
      </c>
      <c r="M90" s="205"/>
      <c r="S90" s="184" t="s">
        <v>2486</v>
      </c>
    </row>
    <row r="91" spans="1:19" ht="16.5" customHeight="1" x14ac:dyDescent="0.2"/>
    <row r="92" spans="1:19" ht="16.5" customHeight="1" x14ac:dyDescent="0.2"/>
  </sheetData>
  <mergeCells count="42">
    <mergeCell ref="D79:E81"/>
    <mergeCell ref="F81:F82"/>
    <mergeCell ref="D83:E85"/>
    <mergeCell ref="F85:F86"/>
    <mergeCell ref="D87:E89"/>
    <mergeCell ref="F89:F90"/>
    <mergeCell ref="D67:E69"/>
    <mergeCell ref="F69:F70"/>
    <mergeCell ref="D71:E73"/>
    <mergeCell ref="F73:F74"/>
    <mergeCell ref="D75:E77"/>
    <mergeCell ref="F77:F78"/>
    <mergeCell ref="D55:E57"/>
    <mergeCell ref="F57:F58"/>
    <mergeCell ref="D59:E61"/>
    <mergeCell ref="F61:F62"/>
    <mergeCell ref="D63:E65"/>
    <mergeCell ref="F65:F66"/>
    <mergeCell ref="D43:E45"/>
    <mergeCell ref="F45:F46"/>
    <mergeCell ref="D47:E49"/>
    <mergeCell ref="F49:F50"/>
    <mergeCell ref="D51:E53"/>
    <mergeCell ref="F53:F54"/>
    <mergeCell ref="D31:E33"/>
    <mergeCell ref="F33:F34"/>
    <mergeCell ref="D35:E37"/>
    <mergeCell ref="F37:F38"/>
    <mergeCell ref="D39:E41"/>
    <mergeCell ref="F41:F42"/>
    <mergeCell ref="D19:E21"/>
    <mergeCell ref="F21:F22"/>
    <mergeCell ref="D23:E25"/>
    <mergeCell ref="F25:F26"/>
    <mergeCell ref="D27:E29"/>
    <mergeCell ref="F29:F30"/>
    <mergeCell ref="D7:E9"/>
    <mergeCell ref="F9:F10"/>
    <mergeCell ref="D11:E13"/>
    <mergeCell ref="F13:F14"/>
    <mergeCell ref="D15:E17"/>
    <mergeCell ref="F17:F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Header>&amp;R&amp;"ＭＳ Ｐゴシック"&amp;9居宅介護</oddHeader>
    <oddFooter>&amp;C&amp;"ＭＳ Ｐゴシック"&amp;14&amp;P</oddFooter>
  </headerFooter>
  <rowBreaks count="1" manualBreakCount="1">
    <brk id="70" max="12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69"/>
  <sheetViews>
    <sheetView workbookViewId="0"/>
  </sheetViews>
  <sheetFormatPr defaultColWidth="8.90625" defaultRowHeight="14" x14ac:dyDescent="0.2"/>
  <cols>
    <col min="1" max="1" width="4.6328125" style="22" customWidth="1"/>
    <col min="2" max="2" width="7.6328125" style="22" customWidth="1"/>
    <col min="3" max="3" width="37.453125" style="23" customWidth="1"/>
    <col min="4" max="4" width="4.90625" style="23" customWidth="1"/>
    <col min="5" max="5" width="4.90625" style="25" customWidth="1"/>
    <col min="6" max="6" width="12" style="25" customWidth="1"/>
    <col min="7" max="7" width="2.453125" style="25" customWidth="1"/>
    <col min="8" max="8" width="4.453125" style="26" bestFit="1" customWidth="1"/>
    <col min="9" max="9" width="26" style="25" customWidth="1"/>
    <col min="10" max="10" width="2.453125" style="25" customWidth="1"/>
    <col min="11" max="11" width="5.453125" style="26" bestFit="1" customWidth="1"/>
    <col min="12" max="12" width="2.453125" style="25" customWidth="1"/>
    <col min="13" max="13" width="3.90625" style="25" customWidth="1"/>
    <col min="14" max="14" width="4.453125" style="26" bestFit="1" customWidth="1"/>
    <col min="15" max="15" width="7.08984375" style="28" customWidth="1"/>
    <col min="16" max="16" width="8.6328125" style="29" customWidth="1"/>
    <col min="17" max="16384" width="8.90625" style="25"/>
  </cols>
  <sheetData>
    <row r="1" spans="1:16" ht="17.149999999999999" customHeight="1" x14ac:dyDescent="0.2"/>
    <row r="2" spans="1:16" ht="17.149999999999999" customHeight="1" x14ac:dyDescent="0.2"/>
    <row r="3" spans="1:16" ht="17.149999999999999" customHeight="1" x14ac:dyDescent="0.2"/>
    <row r="4" spans="1:16" ht="17.149999999999999" customHeight="1" x14ac:dyDescent="0.2">
      <c r="B4" s="30" t="s">
        <v>1809</v>
      </c>
      <c r="D4" s="65"/>
    </row>
    <row r="5" spans="1:16" ht="16.5" customHeight="1" x14ac:dyDescent="0.2">
      <c r="A5" s="31" t="s">
        <v>386</v>
      </c>
      <c r="B5" s="32"/>
      <c r="C5" s="33" t="s">
        <v>387</v>
      </c>
      <c r="D5" s="34" t="s">
        <v>388</v>
      </c>
      <c r="E5" s="34"/>
      <c r="F5" s="34"/>
      <c r="G5" s="34"/>
      <c r="H5" s="35"/>
      <c r="I5" s="34"/>
      <c r="J5" s="34"/>
      <c r="K5" s="35"/>
      <c r="L5" s="34"/>
      <c r="M5" s="34"/>
      <c r="N5" s="35"/>
      <c r="O5" s="36" t="s">
        <v>389</v>
      </c>
      <c r="P5" s="33" t="s">
        <v>390</v>
      </c>
    </row>
    <row r="6" spans="1:16" ht="16.5" customHeight="1" x14ac:dyDescent="0.2">
      <c r="A6" s="37" t="s">
        <v>391</v>
      </c>
      <c r="B6" s="37" t="s">
        <v>392</v>
      </c>
      <c r="C6" s="38"/>
      <c r="D6" s="40"/>
      <c r="E6" s="40"/>
      <c r="F6" s="40"/>
      <c r="G6" s="40"/>
      <c r="H6" s="41"/>
      <c r="I6" s="40"/>
      <c r="J6" s="40"/>
      <c r="K6" s="41"/>
      <c r="L6" s="40"/>
      <c r="M6" s="40"/>
      <c r="N6" s="41"/>
      <c r="O6" s="42" t="s">
        <v>393</v>
      </c>
      <c r="P6" s="43" t="s">
        <v>394</v>
      </c>
    </row>
    <row r="7" spans="1:16" ht="16.5" customHeight="1" x14ac:dyDescent="0.2">
      <c r="A7" s="44">
        <v>16</v>
      </c>
      <c r="B7" s="44">
        <v>7467</v>
      </c>
      <c r="C7" s="45" t="s">
        <v>1811</v>
      </c>
      <c r="D7" s="245" t="s">
        <v>1943</v>
      </c>
      <c r="E7" s="274"/>
      <c r="F7" s="47"/>
      <c r="I7" s="54"/>
      <c r="J7" s="49"/>
      <c r="K7" s="50"/>
      <c r="L7" s="67" t="s">
        <v>399</v>
      </c>
      <c r="N7" s="133"/>
      <c r="O7" s="68">
        <f>ROUND((_11_A通院２増０．５*(1+_11・A早朝)),0)</f>
        <v>86</v>
      </c>
      <c r="P7" s="52" t="s">
        <v>395</v>
      </c>
    </row>
    <row r="8" spans="1:16" ht="16.5" customHeight="1" x14ac:dyDescent="0.2">
      <c r="A8" s="44">
        <v>16</v>
      </c>
      <c r="B8" s="53">
        <v>7468</v>
      </c>
      <c r="C8" s="69" t="s">
        <v>1812</v>
      </c>
      <c r="D8" s="273"/>
      <c r="E8" s="274"/>
      <c r="F8" s="54"/>
      <c r="G8" s="49"/>
      <c r="H8" s="50"/>
      <c r="I8" s="144" t="s">
        <v>396</v>
      </c>
      <c r="J8" s="131" t="s">
        <v>397</v>
      </c>
      <c r="K8" s="57">
        <v>1</v>
      </c>
      <c r="L8" s="139" t="s">
        <v>397</v>
      </c>
      <c r="M8" s="26">
        <v>0.25</v>
      </c>
      <c r="N8" s="246" t="s">
        <v>400</v>
      </c>
      <c r="O8" s="70">
        <f>ROUND((ROUND((_11_A通院２増０．５*_11・２人),0)*(1+_11・A早朝)),0)</f>
        <v>86</v>
      </c>
      <c r="P8" s="59"/>
    </row>
    <row r="9" spans="1:16" ht="16.5" customHeight="1" x14ac:dyDescent="0.2">
      <c r="A9" s="44">
        <v>16</v>
      </c>
      <c r="B9" s="53">
        <v>7469</v>
      </c>
      <c r="C9" s="69" t="s">
        <v>1813</v>
      </c>
      <c r="D9" s="273"/>
      <c r="E9" s="274"/>
      <c r="F9" s="241" t="s">
        <v>398</v>
      </c>
      <c r="G9" s="132" t="s">
        <v>397</v>
      </c>
      <c r="H9" s="61">
        <v>0.9</v>
      </c>
      <c r="I9" s="138"/>
      <c r="J9" s="56"/>
      <c r="K9" s="57"/>
      <c r="L9" s="47"/>
      <c r="N9" s="274"/>
      <c r="O9" s="70">
        <f>ROUND((ROUND((_11_A通院２増０．５*_11・基礎２),0)*(1+_11・A早朝)),0)</f>
        <v>78</v>
      </c>
      <c r="P9" s="59"/>
    </row>
    <row r="10" spans="1:16" ht="16.5" customHeight="1" x14ac:dyDescent="0.2">
      <c r="A10" s="44">
        <v>16</v>
      </c>
      <c r="B10" s="53">
        <v>7470</v>
      </c>
      <c r="C10" s="69" t="s">
        <v>1814</v>
      </c>
      <c r="D10" s="142">
        <f>_11_A通院２増０．５</f>
        <v>69</v>
      </c>
      <c r="E10" s="23" t="s">
        <v>394</v>
      </c>
      <c r="F10" s="242"/>
      <c r="G10" s="49"/>
      <c r="H10" s="50"/>
      <c r="I10" s="144" t="s">
        <v>396</v>
      </c>
      <c r="J10" s="131" t="s">
        <v>397</v>
      </c>
      <c r="K10" s="57">
        <v>1</v>
      </c>
      <c r="L10" s="47"/>
      <c r="N10" s="133"/>
      <c r="O10" s="70">
        <f>ROUND((ROUND((ROUND((_11_A通院２増０．５*_11・基礎２),0)*_11・２人),0)*(1+_11・A早朝)),0)</f>
        <v>78</v>
      </c>
      <c r="P10" s="59"/>
    </row>
    <row r="11" spans="1:16" ht="16.5" customHeight="1" x14ac:dyDescent="0.2">
      <c r="A11" s="44">
        <v>16</v>
      </c>
      <c r="B11" s="53">
        <v>7471</v>
      </c>
      <c r="C11" s="69" t="s">
        <v>1815</v>
      </c>
      <c r="D11" s="243" t="s">
        <v>1944</v>
      </c>
      <c r="E11" s="272"/>
      <c r="F11" s="62"/>
      <c r="G11" s="60"/>
      <c r="H11" s="61"/>
      <c r="I11" s="138"/>
      <c r="J11" s="56"/>
      <c r="K11" s="57"/>
      <c r="L11" s="47"/>
      <c r="O11" s="70">
        <f>ROUND((_11_A通院２増１．０*(1+_11・A早朝)),0)</f>
        <v>173</v>
      </c>
      <c r="P11" s="59"/>
    </row>
    <row r="12" spans="1:16" ht="16.5" customHeight="1" x14ac:dyDescent="0.2">
      <c r="A12" s="44">
        <v>16</v>
      </c>
      <c r="B12" s="53">
        <v>7472</v>
      </c>
      <c r="C12" s="69" t="s">
        <v>1816</v>
      </c>
      <c r="D12" s="273"/>
      <c r="E12" s="274"/>
      <c r="F12" s="54"/>
      <c r="G12" s="49"/>
      <c r="H12" s="50"/>
      <c r="I12" s="144" t="s">
        <v>396</v>
      </c>
      <c r="J12" s="131" t="s">
        <v>397</v>
      </c>
      <c r="K12" s="57">
        <v>1</v>
      </c>
      <c r="L12" s="47"/>
      <c r="O12" s="70">
        <f>ROUND((ROUND((_11_A通院２増１．０*_11・２人),0)*(1+_11・A早朝)),0)</f>
        <v>173</v>
      </c>
      <c r="P12" s="59"/>
    </row>
    <row r="13" spans="1:16" ht="16.5" customHeight="1" x14ac:dyDescent="0.2">
      <c r="A13" s="44">
        <v>16</v>
      </c>
      <c r="B13" s="53">
        <v>7473</v>
      </c>
      <c r="C13" s="69" t="s">
        <v>1817</v>
      </c>
      <c r="D13" s="273"/>
      <c r="E13" s="274"/>
      <c r="F13" s="241" t="s">
        <v>398</v>
      </c>
      <c r="G13" s="132" t="s">
        <v>397</v>
      </c>
      <c r="H13" s="61">
        <v>0.9</v>
      </c>
      <c r="I13" s="138"/>
      <c r="J13" s="56"/>
      <c r="K13" s="57"/>
      <c r="L13" s="47"/>
      <c r="O13" s="70">
        <f>ROUND((ROUND((_11_A通院２増１．０*_11・基礎２),0)*(1+_11・A早朝)),0)</f>
        <v>155</v>
      </c>
      <c r="P13" s="59"/>
    </row>
    <row r="14" spans="1:16" ht="16.5" customHeight="1" x14ac:dyDescent="0.2">
      <c r="A14" s="44">
        <v>16</v>
      </c>
      <c r="B14" s="53">
        <v>7474</v>
      </c>
      <c r="C14" s="69" t="s">
        <v>1818</v>
      </c>
      <c r="D14" s="142">
        <f>_11_A通院２増１．０</f>
        <v>138</v>
      </c>
      <c r="E14" s="137" t="s">
        <v>394</v>
      </c>
      <c r="F14" s="242"/>
      <c r="G14" s="49"/>
      <c r="H14" s="50"/>
      <c r="I14" s="144" t="s">
        <v>396</v>
      </c>
      <c r="J14" s="131" t="s">
        <v>397</v>
      </c>
      <c r="K14" s="57">
        <v>1</v>
      </c>
      <c r="L14" s="47"/>
      <c r="O14" s="70">
        <f>ROUND((ROUND((ROUND((_11_A通院２増１．０*_11・基礎２),0)*_11・２人),0)*(1+_11・A早朝)),0)</f>
        <v>155</v>
      </c>
      <c r="P14" s="59"/>
    </row>
    <row r="15" spans="1:16" ht="16.5" customHeight="1" x14ac:dyDescent="0.2">
      <c r="A15" s="44">
        <v>16</v>
      </c>
      <c r="B15" s="53">
        <v>7475</v>
      </c>
      <c r="C15" s="69" t="s">
        <v>1819</v>
      </c>
      <c r="D15" s="243" t="s">
        <v>1945</v>
      </c>
      <c r="E15" s="272"/>
      <c r="F15" s="62"/>
      <c r="G15" s="60"/>
      <c r="H15" s="61"/>
      <c r="I15" s="138"/>
      <c r="J15" s="56"/>
      <c r="K15" s="57"/>
      <c r="L15" s="47"/>
      <c r="O15" s="70">
        <f>ROUND((_11_A通院２増１．５*(1+_11・A早朝)),0)</f>
        <v>259</v>
      </c>
      <c r="P15" s="59"/>
    </row>
    <row r="16" spans="1:16" ht="16.5" customHeight="1" x14ac:dyDescent="0.2">
      <c r="A16" s="44">
        <v>16</v>
      </c>
      <c r="B16" s="53">
        <v>7476</v>
      </c>
      <c r="C16" s="69" t="s">
        <v>1820</v>
      </c>
      <c r="D16" s="273"/>
      <c r="E16" s="274"/>
      <c r="F16" s="54"/>
      <c r="G16" s="49"/>
      <c r="H16" s="50"/>
      <c r="I16" s="144" t="s">
        <v>396</v>
      </c>
      <c r="J16" s="131" t="s">
        <v>397</v>
      </c>
      <c r="K16" s="57">
        <v>1</v>
      </c>
      <c r="L16" s="47"/>
      <c r="O16" s="70">
        <f>ROUND((ROUND((_11_A通院２増１．５*_11・２人),0)*(1+_11・A早朝)),0)</f>
        <v>259</v>
      </c>
      <c r="P16" s="59"/>
    </row>
    <row r="17" spans="1:16" ht="16.5" customHeight="1" x14ac:dyDescent="0.2">
      <c r="A17" s="44">
        <v>16</v>
      </c>
      <c r="B17" s="53">
        <v>7477</v>
      </c>
      <c r="C17" s="69" t="s">
        <v>1821</v>
      </c>
      <c r="D17" s="273"/>
      <c r="E17" s="274"/>
      <c r="F17" s="241" t="s">
        <v>398</v>
      </c>
      <c r="G17" s="132" t="s">
        <v>397</v>
      </c>
      <c r="H17" s="61">
        <v>0.9</v>
      </c>
      <c r="I17" s="138"/>
      <c r="J17" s="56"/>
      <c r="K17" s="57"/>
      <c r="L17" s="47"/>
      <c r="O17" s="70">
        <f>ROUND((ROUND((_11_A通院２増１．５*_11・基礎２),0)*(1+_11・A早朝)),0)</f>
        <v>233</v>
      </c>
      <c r="P17" s="59"/>
    </row>
    <row r="18" spans="1:16" ht="16.5" customHeight="1" x14ac:dyDescent="0.2">
      <c r="A18" s="44">
        <v>16</v>
      </c>
      <c r="B18" s="53">
        <v>7478</v>
      </c>
      <c r="C18" s="69" t="s">
        <v>1822</v>
      </c>
      <c r="D18" s="142">
        <f>_11_A通院２増１．５</f>
        <v>207</v>
      </c>
      <c r="E18" s="137" t="s">
        <v>394</v>
      </c>
      <c r="F18" s="242"/>
      <c r="G18" s="49"/>
      <c r="H18" s="50"/>
      <c r="I18" s="144" t="s">
        <v>396</v>
      </c>
      <c r="J18" s="131" t="s">
        <v>397</v>
      </c>
      <c r="K18" s="57">
        <v>1</v>
      </c>
      <c r="L18" s="47"/>
      <c r="O18" s="70">
        <f>ROUND((ROUND((ROUND((_11_A通院２増１．５*_11・基礎２),0)*_11・２人),0)*(1+_11・A早朝)),0)</f>
        <v>233</v>
      </c>
      <c r="P18" s="59"/>
    </row>
    <row r="19" spans="1:16" ht="16.5" customHeight="1" x14ac:dyDescent="0.2">
      <c r="A19" s="44">
        <v>16</v>
      </c>
      <c r="B19" s="53">
        <v>7479</v>
      </c>
      <c r="C19" s="69" t="s">
        <v>1823</v>
      </c>
      <c r="D19" s="243" t="s">
        <v>1946</v>
      </c>
      <c r="E19" s="272"/>
      <c r="F19" s="62"/>
      <c r="G19" s="60"/>
      <c r="H19" s="61"/>
      <c r="I19" s="138"/>
      <c r="J19" s="56"/>
      <c r="K19" s="57"/>
      <c r="L19" s="47"/>
      <c r="O19" s="70">
        <f>ROUND((_11_A通院２増２．０*(1+_11・A早朝)),0)</f>
        <v>345</v>
      </c>
      <c r="P19" s="59"/>
    </row>
    <row r="20" spans="1:16" ht="16.5" customHeight="1" x14ac:dyDescent="0.2">
      <c r="A20" s="44">
        <v>16</v>
      </c>
      <c r="B20" s="53">
        <v>7480</v>
      </c>
      <c r="C20" s="69" t="s">
        <v>1824</v>
      </c>
      <c r="D20" s="273"/>
      <c r="E20" s="274"/>
      <c r="F20" s="54"/>
      <c r="G20" s="49"/>
      <c r="H20" s="50"/>
      <c r="I20" s="144" t="s">
        <v>396</v>
      </c>
      <c r="J20" s="131" t="s">
        <v>397</v>
      </c>
      <c r="K20" s="57">
        <v>1</v>
      </c>
      <c r="L20" s="47"/>
      <c r="O20" s="70">
        <f>ROUND((ROUND((_11_A通院２増２．０*_11・２人),0)*(1+_11・A早朝)),0)</f>
        <v>345</v>
      </c>
      <c r="P20" s="59"/>
    </row>
    <row r="21" spans="1:16" ht="16.5" customHeight="1" x14ac:dyDescent="0.2">
      <c r="A21" s="44">
        <v>16</v>
      </c>
      <c r="B21" s="53">
        <v>7481</v>
      </c>
      <c r="C21" s="69" t="s">
        <v>1825</v>
      </c>
      <c r="D21" s="273"/>
      <c r="E21" s="274"/>
      <c r="F21" s="241" t="s">
        <v>398</v>
      </c>
      <c r="G21" s="132" t="s">
        <v>397</v>
      </c>
      <c r="H21" s="61">
        <v>0.9</v>
      </c>
      <c r="I21" s="138"/>
      <c r="J21" s="56"/>
      <c r="K21" s="57"/>
      <c r="L21" s="47"/>
      <c r="O21" s="70">
        <f>ROUND((ROUND((_11_A通院２増２．０*_11・基礎２),0)*(1+_11・A早朝)),0)</f>
        <v>310</v>
      </c>
      <c r="P21" s="59"/>
    </row>
    <row r="22" spans="1:16" ht="16.5" customHeight="1" x14ac:dyDescent="0.2">
      <c r="A22" s="44">
        <v>16</v>
      </c>
      <c r="B22" s="53">
        <v>7482</v>
      </c>
      <c r="C22" s="69" t="s">
        <v>1826</v>
      </c>
      <c r="D22" s="142">
        <f>_11_A通院２増２．０</f>
        <v>276</v>
      </c>
      <c r="E22" s="137" t="s">
        <v>394</v>
      </c>
      <c r="F22" s="242"/>
      <c r="G22" s="49"/>
      <c r="H22" s="50"/>
      <c r="I22" s="144" t="s">
        <v>396</v>
      </c>
      <c r="J22" s="131" t="s">
        <v>397</v>
      </c>
      <c r="K22" s="57">
        <v>1</v>
      </c>
      <c r="L22" s="47"/>
      <c r="O22" s="70">
        <f>ROUND((ROUND((ROUND((_11_A通院２増２．０*_11・基礎２),0)*_11・２人),0)*(1+_11・A早朝)),0)</f>
        <v>310</v>
      </c>
      <c r="P22" s="59"/>
    </row>
    <row r="23" spans="1:16" ht="16.5" customHeight="1" x14ac:dyDescent="0.2">
      <c r="A23" s="44">
        <v>16</v>
      </c>
      <c r="B23" s="53">
        <v>7483</v>
      </c>
      <c r="C23" s="69" t="s">
        <v>1827</v>
      </c>
      <c r="D23" s="243" t="s">
        <v>1947</v>
      </c>
      <c r="E23" s="272"/>
      <c r="F23" s="62"/>
      <c r="G23" s="60"/>
      <c r="H23" s="61"/>
      <c r="I23" s="138"/>
      <c r="J23" s="56"/>
      <c r="K23" s="57"/>
      <c r="L23" s="47"/>
      <c r="M23" s="175"/>
      <c r="N23" s="176"/>
      <c r="O23" s="70">
        <f>ROUND((_11_A通院２増２．５*(1+_11・A早朝)),0)</f>
        <v>431</v>
      </c>
      <c r="P23" s="59"/>
    </row>
    <row r="24" spans="1:16" ht="16.5" customHeight="1" x14ac:dyDescent="0.2">
      <c r="A24" s="44">
        <v>16</v>
      </c>
      <c r="B24" s="53">
        <v>7484</v>
      </c>
      <c r="C24" s="69" t="s">
        <v>1828</v>
      </c>
      <c r="D24" s="273"/>
      <c r="E24" s="274"/>
      <c r="F24" s="54"/>
      <c r="G24" s="49"/>
      <c r="H24" s="50"/>
      <c r="I24" s="144" t="s">
        <v>396</v>
      </c>
      <c r="J24" s="131" t="s">
        <v>397</v>
      </c>
      <c r="K24" s="57">
        <v>1</v>
      </c>
      <c r="L24" s="47"/>
      <c r="M24" s="175"/>
      <c r="N24" s="176"/>
      <c r="O24" s="70">
        <f>ROUND((ROUND((_11_A通院２増２．５*_11・２人),0)*(1+_11・A早朝)),0)</f>
        <v>431</v>
      </c>
      <c r="P24" s="59"/>
    </row>
    <row r="25" spans="1:16" ht="16.5" customHeight="1" x14ac:dyDescent="0.2">
      <c r="A25" s="44">
        <v>16</v>
      </c>
      <c r="B25" s="53">
        <v>7485</v>
      </c>
      <c r="C25" s="69" t="s">
        <v>1829</v>
      </c>
      <c r="D25" s="273"/>
      <c r="E25" s="274"/>
      <c r="F25" s="241" t="s">
        <v>398</v>
      </c>
      <c r="G25" s="132" t="s">
        <v>397</v>
      </c>
      <c r="H25" s="61">
        <v>0.9</v>
      </c>
      <c r="I25" s="138"/>
      <c r="J25" s="56"/>
      <c r="K25" s="57"/>
      <c r="L25" s="47"/>
      <c r="M25" s="175"/>
      <c r="N25" s="176"/>
      <c r="O25" s="70">
        <f>ROUND((ROUND((_11_A通院２増２．５*_11・基礎２),0)*(1+_11・A早朝)),0)</f>
        <v>389</v>
      </c>
      <c r="P25" s="59"/>
    </row>
    <row r="26" spans="1:16" ht="16.5" customHeight="1" x14ac:dyDescent="0.2">
      <c r="A26" s="44">
        <v>16</v>
      </c>
      <c r="B26" s="53">
        <v>7486</v>
      </c>
      <c r="C26" s="69" t="s">
        <v>1830</v>
      </c>
      <c r="D26" s="143">
        <f>_11_A通院２増２．５</f>
        <v>345</v>
      </c>
      <c r="E26" s="141" t="s">
        <v>394</v>
      </c>
      <c r="F26" s="242"/>
      <c r="G26" s="49"/>
      <c r="H26" s="50"/>
      <c r="I26" s="144" t="s">
        <v>396</v>
      </c>
      <c r="J26" s="131" t="s">
        <v>397</v>
      </c>
      <c r="K26" s="57">
        <v>1</v>
      </c>
      <c r="L26" s="54"/>
      <c r="M26" s="49"/>
      <c r="N26" s="50"/>
      <c r="O26" s="70">
        <f>ROUND((ROUND((ROUND((_11_A通院２増２．５*_11・基礎２),0)*_11・２人),0)*(1+_11・A早朝)),0)</f>
        <v>389</v>
      </c>
      <c r="P26" s="111"/>
    </row>
    <row r="27" spans="1:16" ht="16.5" customHeight="1" x14ac:dyDescent="0.2">
      <c r="A27" s="71"/>
      <c r="B27" s="71"/>
      <c r="C27" s="72"/>
      <c r="I27" s="73"/>
      <c r="O27" s="74"/>
      <c r="P27" s="75"/>
    </row>
    <row r="28" spans="1:16" ht="16.5" customHeight="1" x14ac:dyDescent="0.2">
      <c r="A28" s="71"/>
      <c r="B28" s="71"/>
      <c r="C28" s="72"/>
      <c r="I28" s="73"/>
      <c r="O28" s="74"/>
      <c r="P28" s="75"/>
    </row>
    <row r="29" spans="1:16" ht="16.5" customHeight="1" x14ac:dyDescent="0.2">
      <c r="A29" s="71"/>
      <c r="B29" s="76" t="s">
        <v>1810</v>
      </c>
      <c r="C29" s="72"/>
      <c r="D29" s="65"/>
      <c r="I29" s="73"/>
      <c r="O29" s="74"/>
      <c r="P29" s="75"/>
    </row>
    <row r="30" spans="1:16" ht="16.5" customHeight="1" x14ac:dyDescent="0.2">
      <c r="A30" s="77" t="s">
        <v>386</v>
      </c>
      <c r="B30" s="32"/>
      <c r="C30" s="78" t="s">
        <v>387</v>
      </c>
      <c r="D30" s="34" t="s">
        <v>388</v>
      </c>
      <c r="E30" s="34"/>
      <c r="F30" s="34"/>
      <c r="G30" s="34"/>
      <c r="H30" s="35"/>
      <c r="I30" s="146"/>
      <c r="J30" s="34"/>
      <c r="K30" s="35"/>
      <c r="L30" s="34"/>
      <c r="M30" s="34"/>
      <c r="N30" s="35"/>
      <c r="O30" s="36" t="s">
        <v>389</v>
      </c>
      <c r="P30" s="33" t="s">
        <v>390</v>
      </c>
    </row>
    <row r="31" spans="1:16" ht="16.5" customHeight="1" x14ac:dyDescent="0.2">
      <c r="A31" s="37" t="s">
        <v>391</v>
      </c>
      <c r="B31" s="37" t="s">
        <v>392</v>
      </c>
      <c r="C31" s="79"/>
      <c r="D31" s="40"/>
      <c r="E31" s="40"/>
      <c r="F31" s="40"/>
      <c r="G31" s="40"/>
      <c r="H31" s="41"/>
      <c r="I31" s="147"/>
      <c r="J31" s="40"/>
      <c r="K31" s="41"/>
      <c r="L31" s="40"/>
      <c r="M31" s="40"/>
      <c r="N31" s="41"/>
      <c r="O31" s="42" t="s">
        <v>393</v>
      </c>
      <c r="P31" s="43" t="s">
        <v>394</v>
      </c>
    </row>
    <row r="32" spans="1:16" ht="16.5" customHeight="1" x14ac:dyDescent="0.2">
      <c r="A32" s="44">
        <v>16</v>
      </c>
      <c r="B32" s="44">
        <v>7487</v>
      </c>
      <c r="C32" s="45" t="s">
        <v>1831</v>
      </c>
      <c r="D32" s="245" t="s">
        <v>1948</v>
      </c>
      <c r="E32" s="274"/>
      <c r="F32" s="47"/>
      <c r="I32" s="64"/>
      <c r="J32" s="49"/>
      <c r="K32" s="50"/>
      <c r="L32" s="47" t="s">
        <v>401</v>
      </c>
      <c r="N32" s="133"/>
      <c r="O32" s="81">
        <f>ROUND((_11_A通院２増０．５*(1+_11・A夜間)),0)</f>
        <v>86</v>
      </c>
      <c r="P32" s="52" t="s">
        <v>395</v>
      </c>
    </row>
    <row r="33" spans="1:16" ht="16.5" customHeight="1" x14ac:dyDescent="0.2">
      <c r="A33" s="44">
        <v>16</v>
      </c>
      <c r="B33" s="53">
        <v>7488</v>
      </c>
      <c r="C33" s="69" t="s">
        <v>1832</v>
      </c>
      <c r="D33" s="273"/>
      <c r="E33" s="274"/>
      <c r="F33" s="54"/>
      <c r="G33" s="49"/>
      <c r="H33" s="50"/>
      <c r="I33" s="144" t="s">
        <v>396</v>
      </c>
      <c r="J33" s="131" t="s">
        <v>397</v>
      </c>
      <c r="K33" s="57">
        <v>1</v>
      </c>
      <c r="L33" s="139" t="s">
        <v>397</v>
      </c>
      <c r="M33" s="26">
        <v>0.25</v>
      </c>
      <c r="N33" s="246" t="s">
        <v>400</v>
      </c>
      <c r="O33" s="82">
        <f>ROUND((ROUND((_11_A通院２増０．５*_11・２人),0)*(1+_11・A夜間)),0)</f>
        <v>86</v>
      </c>
      <c r="P33" s="59"/>
    </row>
    <row r="34" spans="1:16" ht="16.5" customHeight="1" x14ac:dyDescent="0.2">
      <c r="A34" s="44">
        <v>16</v>
      </c>
      <c r="B34" s="53">
        <v>7489</v>
      </c>
      <c r="C34" s="69" t="s">
        <v>1833</v>
      </c>
      <c r="D34" s="273"/>
      <c r="E34" s="274"/>
      <c r="F34" s="241" t="s">
        <v>398</v>
      </c>
      <c r="G34" s="132" t="s">
        <v>397</v>
      </c>
      <c r="H34" s="61">
        <v>0.9</v>
      </c>
      <c r="I34" s="145"/>
      <c r="J34" s="56"/>
      <c r="K34" s="57"/>
      <c r="L34" s="47"/>
      <c r="N34" s="274"/>
      <c r="O34" s="82">
        <f>ROUND((ROUND((_11_A通院２増０．５*_11・基礎２),0)*(1+_11・A夜間)),0)</f>
        <v>78</v>
      </c>
      <c r="P34" s="59"/>
    </row>
    <row r="35" spans="1:16" ht="16.5" customHeight="1" x14ac:dyDescent="0.2">
      <c r="A35" s="44">
        <v>16</v>
      </c>
      <c r="B35" s="53">
        <v>7490</v>
      </c>
      <c r="C35" s="69" t="s">
        <v>1834</v>
      </c>
      <c r="D35" s="142">
        <f>_11_A通院２増０．５</f>
        <v>69</v>
      </c>
      <c r="E35" s="137" t="s">
        <v>394</v>
      </c>
      <c r="F35" s="242"/>
      <c r="G35" s="49"/>
      <c r="H35" s="50"/>
      <c r="I35" s="144" t="s">
        <v>396</v>
      </c>
      <c r="J35" s="131" t="s">
        <v>397</v>
      </c>
      <c r="K35" s="57">
        <v>1</v>
      </c>
      <c r="L35" s="47"/>
      <c r="N35" s="133"/>
      <c r="O35" s="82">
        <f>ROUND((ROUND((ROUND((_11_A通院２増０．５*_11・基礎２),0)*_11・２人),0)*(1+_11・A夜間)),0)</f>
        <v>78</v>
      </c>
      <c r="P35" s="59"/>
    </row>
    <row r="36" spans="1:16" ht="16.5" customHeight="1" x14ac:dyDescent="0.2">
      <c r="A36" s="44">
        <v>16</v>
      </c>
      <c r="B36" s="53">
        <v>7491</v>
      </c>
      <c r="C36" s="69" t="s">
        <v>1835</v>
      </c>
      <c r="D36" s="243" t="s">
        <v>1949</v>
      </c>
      <c r="E36" s="272"/>
      <c r="F36" s="62"/>
      <c r="G36" s="60"/>
      <c r="H36" s="61"/>
      <c r="I36" s="145"/>
      <c r="J36" s="56"/>
      <c r="K36" s="57"/>
      <c r="L36" s="47"/>
      <c r="O36" s="82">
        <f>ROUND((_11_A通院２増１．０*(1+_11・A夜間)),0)</f>
        <v>173</v>
      </c>
      <c r="P36" s="59"/>
    </row>
    <row r="37" spans="1:16" ht="16.5" customHeight="1" x14ac:dyDescent="0.2">
      <c r="A37" s="44">
        <v>16</v>
      </c>
      <c r="B37" s="53">
        <v>7492</v>
      </c>
      <c r="C37" s="69" t="s">
        <v>1836</v>
      </c>
      <c r="D37" s="273"/>
      <c r="E37" s="274"/>
      <c r="F37" s="54"/>
      <c r="G37" s="49"/>
      <c r="H37" s="50"/>
      <c r="I37" s="144" t="s">
        <v>396</v>
      </c>
      <c r="J37" s="131" t="s">
        <v>397</v>
      </c>
      <c r="K37" s="57">
        <v>1</v>
      </c>
      <c r="L37" s="47"/>
      <c r="O37" s="82">
        <f>ROUND((ROUND((_11_A通院２増１．０*_11・２人),0)*(1+_11・A夜間)),0)</f>
        <v>173</v>
      </c>
      <c r="P37" s="59"/>
    </row>
    <row r="38" spans="1:16" ht="16.5" customHeight="1" x14ac:dyDescent="0.2">
      <c r="A38" s="44">
        <v>16</v>
      </c>
      <c r="B38" s="53">
        <v>7493</v>
      </c>
      <c r="C38" s="69" t="s">
        <v>1837</v>
      </c>
      <c r="D38" s="273"/>
      <c r="E38" s="274"/>
      <c r="F38" s="241" t="s">
        <v>398</v>
      </c>
      <c r="G38" s="132" t="s">
        <v>397</v>
      </c>
      <c r="H38" s="61">
        <v>0.9</v>
      </c>
      <c r="I38" s="145"/>
      <c r="J38" s="56"/>
      <c r="K38" s="57"/>
      <c r="L38" s="47"/>
      <c r="O38" s="82">
        <f>ROUND((ROUND((_11_A通院２増１．０*_11・基礎２),0)*(1+_11・A夜間)),0)</f>
        <v>155</v>
      </c>
      <c r="P38" s="59"/>
    </row>
    <row r="39" spans="1:16" ht="16.5" customHeight="1" x14ac:dyDescent="0.2">
      <c r="A39" s="44">
        <v>16</v>
      </c>
      <c r="B39" s="53">
        <v>7494</v>
      </c>
      <c r="C39" s="69" t="s">
        <v>1838</v>
      </c>
      <c r="D39" s="142">
        <f>_11_A通院２増１．０</f>
        <v>138</v>
      </c>
      <c r="E39" s="137" t="s">
        <v>394</v>
      </c>
      <c r="F39" s="242"/>
      <c r="G39" s="49"/>
      <c r="H39" s="50"/>
      <c r="I39" s="144" t="s">
        <v>396</v>
      </c>
      <c r="J39" s="131" t="s">
        <v>397</v>
      </c>
      <c r="K39" s="57">
        <v>1</v>
      </c>
      <c r="L39" s="47"/>
      <c r="O39" s="82">
        <f>ROUND((ROUND((ROUND((_11_A通院２増１．０*_11・基礎２),0)*_11・２人),0)*(1+_11・A夜間)),0)</f>
        <v>155</v>
      </c>
      <c r="P39" s="59"/>
    </row>
    <row r="40" spans="1:16" ht="16.5" customHeight="1" x14ac:dyDescent="0.2">
      <c r="A40" s="44">
        <v>16</v>
      </c>
      <c r="B40" s="53">
        <v>7495</v>
      </c>
      <c r="C40" s="69" t="s">
        <v>1839</v>
      </c>
      <c r="D40" s="243" t="s">
        <v>1950</v>
      </c>
      <c r="E40" s="272"/>
      <c r="F40" s="62"/>
      <c r="G40" s="60"/>
      <c r="H40" s="61"/>
      <c r="I40" s="145"/>
      <c r="J40" s="56"/>
      <c r="K40" s="57"/>
      <c r="L40" s="47"/>
      <c r="O40" s="82">
        <f>ROUND((_11_A通院２増１．５*(1+_11・A夜間)),0)</f>
        <v>259</v>
      </c>
      <c r="P40" s="59"/>
    </row>
    <row r="41" spans="1:16" ht="16.5" customHeight="1" x14ac:dyDescent="0.2">
      <c r="A41" s="44">
        <v>16</v>
      </c>
      <c r="B41" s="53">
        <v>7496</v>
      </c>
      <c r="C41" s="69" t="s">
        <v>1840</v>
      </c>
      <c r="D41" s="273"/>
      <c r="E41" s="274"/>
      <c r="F41" s="54"/>
      <c r="G41" s="49"/>
      <c r="H41" s="50"/>
      <c r="I41" s="144" t="s">
        <v>396</v>
      </c>
      <c r="J41" s="131" t="s">
        <v>397</v>
      </c>
      <c r="K41" s="57">
        <v>1</v>
      </c>
      <c r="L41" s="47"/>
      <c r="O41" s="82">
        <f>ROUND((ROUND((_11_A通院２増１．５*_11・２人),0)*(1+_11・A夜間)),0)</f>
        <v>259</v>
      </c>
      <c r="P41" s="59"/>
    </row>
    <row r="42" spans="1:16" ht="16.5" customHeight="1" x14ac:dyDescent="0.2">
      <c r="A42" s="44">
        <v>16</v>
      </c>
      <c r="B42" s="53">
        <v>7497</v>
      </c>
      <c r="C42" s="69" t="s">
        <v>1841</v>
      </c>
      <c r="D42" s="273"/>
      <c r="E42" s="274"/>
      <c r="F42" s="241" t="s">
        <v>398</v>
      </c>
      <c r="G42" s="132" t="s">
        <v>397</v>
      </c>
      <c r="H42" s="61">
        <v>0.9</v>
      </c>
      <c r="I42" s="145"/>
      <c r="J42" s="56"/>
      <c r="K42" s="57"/>
      <c r="L42" s="47"/>
      <c r="O42" s="82">
        <f>ROUND((ROUND((_11_A通院２増１．５*_11・基礎２),0)*(1+_11・A夜間)),0)</f>
        <v>233</v>
      </c>
      <c r="P42" s="59"/>
    </row>
    <row r="43" spans="1:16" ht="16.5" customHeight="1" x14ac:dyDescent="0.2">
      <c r="A43" s="44">
        <v>16</v>
      </c>
      <c r="B43" s="53">
        <v>7498</v>
      </c>
      <c r="C43" s="69" t="s">
        <v>1842</v>
      </c>
      <c r="D43" s="142">
        <f>_11_A通院２増１．５</f>
        <v>207</v>
      </c>
      <c r="E43" s="137" t="s">
        <v>394</v>
      </c>
      <c r="F43" s="242"/>
      <c r="G43" s="49"/>
      <c r="H43" s="50"/>
      <c r="I43" s="144" t="s">
        <v>396</v>
      </c>
      <c r="J43" s="131" t="s">
        <v>397</v>
      </c>
      <c r="K43" s="57">
        <v>1</v>
      </c>
      <c r="L43" s="47"/>
      <c r="O43" s="82">
        <f>ROUND((ROUND((ROUND((_11_A通院２増１．５*_11・基礎２),0)*_11・２人),0)*(1+_11・A夜間)),0)</f>
        <v>233</v>
      </c>
      <c r="P43" s="59"/>
    </row>
    <row r="44" spans="1:16" ht="16.5" customHeight="1" x14ac:dyDescent="0.2">
      <c r="A44" s="44">
        <v>16</v>
      </c>
      <c r="B44" s="53">
        <v>7499</v>
      </c>
      <c r="C44" s="69" t="s">
        <v>1843</v>
      </c>
      <c r="D44" s="243" t="s">
        <v>1951</v>
      </c>
      <c r="E44" s="272"/>
      <c r="F44" s="62"/>
      <c r="G44" s="60"/>
      <c r="H44" s="61"/>
      <c r="I44" s="145"/>
      <c r="J44" s="56"/>
      <c r="K44" s="57"/>
      <c r="L44" s="47"/>
      <c r="O44" s="82">
        <f>ROUND((_11_A通院２増２．０*(1+_11・A夜間)),0)</f>
        <v>345</v>
      </c>
      <c r="P44" s="59"/>
    </row>
    <row r="45" spans="1:16" ht="16.5" customHeight="1" x14ac:dyDescent="0.2">
      <c r="A45" s="44">
        <v>16</v>
      </c>
      <c r="B45" s="53">
        <v>7500</v>
      </c>
      <c r="C45" s="69" t="s">
        <v>1844</v>
      </c>
      <c r="D45" s="273"/>
      <c r="E45" s="274"/>
      <c r="F45" s="54"/>
      <c r="G45" s="49"/>
      <c r="H45" s="50"/>
      <c r="I45" s="144" t="s">
        <v>396</v>
      </c>
      <c r="J45" s="131" t="s">
        <v>397</v>
      </c>
      <c r="K45" s="57">
        <v>1</v>
      </c>
      <c r="L45" s="47"/>
      <c r="O45" s="82">
        <f>ROUND((ROUND((_11_A通院２増２．０*_11・２人),0)*(1+_11・A夜間)),0)</f>
        <v>345</v>
      </c>
      <c r="P45" s="59"/>
    </row>
    <row r="46" spans="1:16" ht="16.5" customHeight="1" x14ac:dyDescent="0.2">
      <c r="A46" s="44">
        <v>16</v>
      </c>
      <c r="B46" s="53">
        <v>7501</v>
      </c>
      <c r="C46" s="69" t="s">
        <v>1845</v>
      </c>
      <c r="D46" s="273"/>
      <c r="E46" s="274"/>
      <c r="F46" s="241" t="s">
        <v>398</v>
      </c>
      <c r="G46" s="132" t="s">
        <v>397</v>
      </c>
      <c r="H46" s="61">
        <v>0.9</v>
      </c>
      <c r="I46" s="145"/>
      <c r="J46" s="56"/>
      <c r="K46" s="57"/>
      <c r="L46" s="47"/>
      <c r="O46" s="82">
        <f>ROUND((ROUND((_11_A通院２増２．０*_11・基礎２),0)*(1+_11・A夜間)),0)</f>
        <v>310</v>
      </c>
      <c r="P46" s="59"/>
    </row>
    <row r="47" spans="1:16" ht="16.5" customHeight="1" x14ac:dyDescent="0.2">
      <c r="A47" s="44">
        <v>16</v>
      </c>
      <c r="B47" s="53">
        <v>7502</v>
      </c>
      <c r="C47" s="69" t="s">
        <v>1846</v>
      </c>
      <c r="D47" s="142">
        <f>_11_A通院２増２．０</f>
        <v>276</v>
      </c>
      <c r="E47" s="137" t="s">
        <v>394</v>
      </c>
      <c r="F47" s="242"/>
      <c r="G47" s="49"/>
      <c r="H47" s="50"/>
      <c r="I47" s="144" t="s">
        <v>396</v>
      </c>
      <c r="J47" s="131" t="s">
        <v>397</v>
      </c>
      <c r="K47" s="57">
        <v>1</v>
      </c>
      <c r="L47" s="47"/>
      <c r="O47" s="82">
        <f>ROUND((ROUND((ROUND((_11_A通院２増２．０*_11・基礎２),0)*_11・２人),0)*(1+_11・A夜間)),0)</f>
        <v>310</v>
      </c>
      <c r="P47" s="59"/>
    </row>
    <row r="48" spans="1:16" ht="16.5" customHeight="1" x14ac:dyDescent="0.2">
      <c r="A48" s="44">
        <v>16</v>
      </c>
      <c r="B48" s="44">
        <v>7503</v>
      </c>
      <c r="C48" s="45" t="s">
        <v>1847</v>
      </c>
      <c r="D48" s="245" t="s">
        <v>1952</v>
      </c>
      <c r="E48" s="274"/>
      <c r="F48" s="47"/>
      <c r="I48" s="64"/>
      <c r="J48" s="49"/>
      <c r="K48" s="50"/>
      <c r="L48" s="47"/>
      <c r="N48" s="133"/>
      <c r="O48" s="81">
        <f>ROUND((_11_A通院２増２．５*(1+_11・A夜間)),0)</f>
        <v>431</v>
      </c>
      <c r="P48" s="59"/>
    </row>
    <row r="49" spans="1:16" ht="16.5" customHeight="1" x14ac:dyDescent="0.2">
      <c r="A49" s="44">
        <v>16</v>
      </c>
      <c r="B49" s="53">
        <v>7504</v>
      </c>
      <c r="C49" s="69" t="s">
        <v>1848</v>
      </c>
      <c r="D49" s="273"/>
      <c r="E49" s="274"/>
      <c r="F49" s="54"/>
      <c r="G49" s="49"/>
      <c r="H49" s="50"/>
      <c r="I49" s="144" t="s">
        <v>396</v>
      </c>
      <c r="J49" s="131" t="s">
        <v>397</v>
      </c>
      <c r="K49" s="57">
        <v>1</v>
      </c>
      <c r="L49" s="47"/>
      <c r="N49" s="133"/>
      <c r="O49" s="82">
        <f>ROUND((ROUND((_11_A通院２増２．５*_11・２人),0)*(1+_11・A夜間)),0)</f>
        <v>431</v>
      </c>
      <c r="P49" s="59"/>
    </row>
    <row r="50" spans="1:16" ht="16.5" customHeight="1" x14ac:dyDescent="0.2">
      <c r="A50" s="44">
        <v>16</v>
      </c>
      <c r="B50" s="53">
        <v>7505</v>
      </c>
      <c r="C50" s="69" t="s">
        <v>1849</v>
      </c>
      <c r="D50" s="273"/>
      <c r="E50" s="274"/>
      <c r="F50" s="241" t="s">
        <v>398</v>
      </c>
      <c r="G50" s="132" t="s">
        <v>397</v>
      </c>
      <c r="H50" s="61">
        <v>0.9</v>
      </c>
      <c r="I50" s="145"/>
      <c r="J50" s="56"/>
      <c r="K50" s="57"/>
      <c r="L50" s="47"/>
      <c r="O50" s="82">
        <f>ROUND((ROUND((_11_A通院２増２．５*_11・基礎２),0)*(1+_11・A夜間)),0)</f>
        <v>389</v>
      </c>
      <c r="P50" s="59"/>
    </row>
    <row r="51" spans="1:16" ht="16.5" customHeight="1" x14ac:dyDescent="0.2">
      <c r="A51" s="44">
        <v>16</v>
      </c>
      <c r="B51" s="53">
        <v>7506</v>
      </c>
      <c r="C51" s="69" t="s">
        <v>1850</v>
      </c>
      <c r="D51" s="142">
        <f>_11_A通院２増２．５</f>
        <v>345</v>
      </c>
      <c r="E51" s="137" t="s">
        <v>394</v>
      </c>
      <c r="F51" s="242"/>
      <c r="G51" s="49"/>
      <c r="H51" s="50"/>
      <c r="I51" s="144" t="s">
        <v>396</v>
      </c>
      <c r="J51" s="131" t="s">
        <v>397</v>
      </c>
      <c r="K51" s="57">
        <v>1</v>
      </c>
      <c r="L51" s="47"/>
      <c r="O51" s="82">
        <f>ROUND((ROUND((ROUND((_11_A通院２増２．５*_11・基礎２),0)*_11・２人),0)*(1+_11・A夜間)),0)</f>
        <v>389</v>
      </c>
      <c r="P51" s="59"/>
    </row>
    <row r="52" spans="1:16" ht="16.5" customHeight="1" x14ac:dyDescent="0.2">
      <c r="A52" s="44">
        <v>16</v>
      </c>
      <c r="B52" s="53">
        <v>7507</v>
      </c>
      <c r="C52" s="69" t="s">
        <v>1851</v>
      </c>
      <c r="D52" s="243" t="s">
        <v>1953</v>
      </c>
      <c r="E52" s="272"/>
      <c r="F52" s="62"/>
      <c r="G52" s="60"/>
      <c r="H52" s="61"/>
      <c r="I52" s="145"/>
      <c r="J52" s="56"/>
      <c r="K52" s="57"/>
      <c r="L52" s="47"/>
      <c r="O52" s="82">
        <f>ROUND((_11_A通院２増３．０*(1+_11・A夜間)),0)</f>
        <v>518</v>
      </c>
      <c r="P52" s="59"/>
    </row>
    <row r="53" spans="1:16" ht="16.5" customHeight="1" x14ac:dyDescent="0.2">
      <c r="A53" s="44">
        <v>16</v>
      </c>
      <c r="B53" s="53">
        <v>7508</v>
      </c>
      <c r="C53" s="69" t="s">
        <v>1852</v>
      </c>
      <c r="D53" s="273"/>
      <c r="E53" s="274"/>
      <c r="F53" s="54"/>
      <c r="G53" s="49"/>
      <c r="H53" s="50"/>
      <c r="I53" s="144" t="s">
        <v>396</v>
      </c>
      <c r="J53" s="131" t="s">
        <v>397</v>
      </c>
      <c r="K53" s="57">
        <v>1</v>
      </c>
      <c r="L53" s="47"/>
      <c r="O53" s="82">
        <f>ROUND((ROUND((_11_A通院２増３．０*_11・２人),0)*(1+_11・A夜間)),0)</f>
        <v>518</v>
      </c>
      <c r="P53" s="59"/>
    </row>
    <row r="54" spans="1:16" ht="16.5" customHeight="1" x14ac:dyDescent="0.2">
      <c r="A54" s="44">
        <v>16</v>
      </c>
      <c r="B54" s="53">
        <v>7509</v>
      </c>
      <c r="C54" s="69" t="s">
        <v>1853</v>
      </c>
      <c r="D54" s="273"/>
      <c r="E54" s="274"/>
      <c r="F54" s="241" t="s">
        <v>398</v>
      </c>
      <c r="G54" s="132" t="s">
        <v>397</v>
      </c>
      <c r="H54" s="61">
        <v>0.9</v>
      </c>
      <c r="I54" s="145"/>
      <c r="J54" s="56"/>
      <c r="K54" s="57"/>
      <c r="L54" s="47"/>
      <c r="O54" s="82">
        <f>ROUND((ROUND((_11_A通院２増３．０*_11・基礎２),0)*(1+_11・A夜間)),0)</f>
        <v>466</v>
      </c>
      <c r="P54" s="59"/>
    </row>
    <row r="55" spans="1:16" ht="16.5" customHeight="1" x14ac:dyDescent="0.2">
      <c r="A55" s="44">
        <v>16</v>
      </c>
      <c r="B55" s="53">
        <v>7510</v>
      </c>
      <c r="C55" s="69" t="s">
        <v>1854</v>
      </c>
      <c r="D55" s="142">
        <f>_11_A通院２増３．０</f>
        <v>414</v>
      </c>
      <c r="E55" s="137" t="s">
        <v>394</v>
      </c>
      <c r="F55" s="242"/>
      <c r="G55" s="49"/>
      <c r="H55" s="50"/>
      <c r="I55" s="144" t="s">
        <v>396</v>
      </c>
      <c r="J55" s="131" t="s">
        <v>397</v>
      </c>
      <c r="K55" s="57">
        <v>1</v>
      </c>
      <c r="L55" s="47"/>
      <c r="O55" s="82">
        <f>ROUND((ROUND((ROUND((_11_A通院２増３．０*_11・基礎２),0)*_11・２人),0)*(1+_11・A夜間)),0)</f>
        <v>466</v>
      </c>
      <c r="P55" s="59"/>
    </row>
    <row r="56" spans="1:16" ht="16.5" customHeight="1" x14ac:dyDescent="0.2">
      <c r="A56" s="44">
        <v>16</v>
      </c>
      <c r="B56" s="53">
        <v>7511</v>
      </c>
      <c r="C56" s="69" t="s">
        <v>1855</v>
      </c>
      <c r="D56" s="243" t="s">
        <v>1954</v>
      </c>
      <c r="E56" s="272"/>
      <c r="F56" s="62"/>
      <c r="G56" s="60"/>
      <c r="H56" s="61"/>
      <c r="I56" s="145"/>
      <c r="J56" s="56"/>
      <c r="K56" s="57"/>
      <c r="L56" s="47"/>
      <c r="O56" s="82">
        <f>ROUND((_11_A通院２増３．５*(1+_11・A夜間)),0)</f>
        <v>604</v>
      </c>
      <c r="P56" s="59"/>
    </row>
    <row r="57" spans="1:16" ht="16.5" customHeight="1" x14ac:dyDescent="0.2">
      <c r="A57" s="44">
        <v>16</v>
      </c>
      <c r="B57" s="53">
        <v>7512</v>
      </c>
      <c r="C57" s="69" t="s">
        <v>1856</v>
      </c>
      <c r="D57" s="273"/>
      <c r="E57" s="274"/>
      <c r="F57" s="54"/>
      <c r="G57" s="49"/>
      <c r="H57" s="50"/>
      <c r="I57" s="144" t="s">
        <v>396</v>
      </c>
      <c r="J57" s="131" t="s">
        <v>397</v>
      </c>
      <c r="K57" s="57">
        <v>1</v>
      </c>
      <c r="L57" s="47"/>
      <c r="O57" s="82">
        <f>ROUND((ROUND((_11_A通院２増３．５*_11・２人),0)*(1+_11・A夜間)),0)</f>
        <v>604</v>
      </c>
      <c r="P57" s="59"/>
    </row>
    <row r="58" spans="1:16" ht="16.5" customHeight="1" x14ac:dyDescent="0.2">
      <c r="A58" s="44">
        <v>16</v>
      </c>
      <c r="B58" s="53">
        <v>7513</v>
      </c>
      <c r="C58" s="69" t="s">
        <v>1857</v>
      </c>
      <c r="D58" s="273"/>
      <c r="E58" s="274"/>
      <c r="F58" s="241" t="s">
        <v>398</v>
      </c>
      <c r="G58" s="132" t="s">
        <v>397</v>
      </c>
      <c r="H58" s="61">
        <v>0.9</v>
      </c>
      <c r="I58" s="145"/>
      <c r="J58" s="56"/>
      <c r="K58" s="57"/>
      <c r="L58" s="47"/>
      <c r="O58" s="82">
        <f>ROUND((ROUND((_11_A通院２増３．５*_11・基礎２),0)*(1+_11・A夜間)),0)</f>
        <v>544</v>
      </c>
      <c r="P58" s="59"/>
    </row>
    <row r="59" spans="1:16" ht="16.5" customHeight="1" x14ac:dyDescent="0.2">
      <c r="A59" s="44">
        <v>16</v>
      </c>
      <c r="B59" s="53">
        <v>7514</v>
      </c>
      <c r="C59" s="69" t="s">
        <v>1858</v>
      </c>
      <c r="D59" s="142">
        <f>_11_A通院２増３．５</f>
        <v>483</v>
      </c>
      <c r="E59" s="137" t="s">
        <v>394</v>
      </c>
      <c r="F59" s="242"/>
      <c r="G59" s="49"/>
      <c r="H59" s="50"/>
      <c r="I59" s="144" t="s">
        <v>396</v>
      </c>
      <c r="J59" s="131" t="s">
        <v>397</v>
      </c>
      <c r="K59" s="57">
        <v>1</v>
      </c>
      <c r="L59" s="47"/>
      <c r="O59" s="82">
        <f>ROUND((ROUND((ROUND((_11_A通院２増３．５*_11・基礎２),0)*_11・２人),0)*(1+_11・A夜間)),0)</f>
        <v>544</v>
      </c>
      <c r="P59" s="59"/>
    </row>
    <row r="60" spans="1:16" ht="16.5" customHeight="1" x14ac:dyDescent="0.2">
      <c r="A60" s="44">
        <v>16</v>
      </c>
      <c r="B60" s="53">
        <v>7515</v>
      </c>
      <c r="C60" s="69" t="s">
        <v>1859</v>
      </c>
      <c r="D60" s="243" t="s">
        <v>1955</v>
      </c>
      <c r="E60" s="272"/>
      <c r="F60" s="62"/>
      <c r="G60" s="60"/>
      <c r="H60" s="61"/>
      <c r="I60" s="145"/>
      <c r="J60" s="56"/>
      <c r="K60" s="57"/>
      <c r="L60" s="47"/>
      <c r="O60" s="82">
        <f>ROUND((_11_A通院２増４．０*(1+_11・A夜間)),0)</f>
        <v>690</v>
      </c>
      <c r="P60" s="59"/>
    </row>
    <row r="61" spans="1:16" ht="16.5" customHeight="1" x14ac:dyDescent="0.2">
      <c r="A61" s="44">
        <v>16</v>
      </c>
      <c r="B61" s="53">
        <v>7516</v>
      </c>
      <c r="C61" s="69" t="s">
        <v>1860</v>
      </c>
      <c r="D61" s="273"/>
      <c r="E61" s="274"/>
      <c r="F61" s="54"/>
      <c r="G61" s="49"/>
      <c r="H61" s="50"/>
      <c r="I61" s="144" t="s">
        <v>396</v>
      </c>
      <c r="J61" s="131" t="s">
        <v>397</v>
      </c>
      <c r="K61" s="57">
        <v>1</v>
      </c>
      <c r="L61" s="47"/>
      <c r="O61" s="82">
        <f>ROUND((ROUND((_11_A通院２増４．０*_11・２人),0)*(1+_11・A夜間)),0)</f>
        <v>690</v>
      </c>
      <c r="P61" s="59"/>
    </row>
    <row r="62" spans="1:16" ht="16.5" customHeight="1" x14ac:dyDescent="0.2">
      <c r="A62" s="44">
        <v>16</v>
      </c>
      <c r="B62" s="53">
        <v>7517</v>
      </c>
      <c r="C62" s="69" t="s">
        <v>1861</v>
      </c>
      <c r="D62" s="273"/>
      <c r="E62" s="274"/>
      <c r="F62" s="241" t="s">
        <v>398</v>
      </c>
      <c r="G62" s="132" t="s">
        <v>397</v>
      </c>
      <c r="H62" s="61">
        <v>0.9</v>
      </c>
      <c r="I62" s="145"/>
      <c r="J62" s="56"/>
      <c r="K62" s="57"/>
      <c r="L62" s="47"/>
      <c r="O62" s="82">
        <f>ROUND((ROUND((_11_A通院２増４．０*_11・基礎２),0)*(1+_11・A夜間)),0)</f>
        <v>621</v>
      </c>
      <c r="P62" s="59"/>
    </row>
    <row r="63" spans="1:16" ht="16.5" customHeight="1" x14ac:dyDescent="0.2">
      <c r="A63" s="44">
        <v>16</v>
      </c>
      <c r="B63" s="53">
        <v>7518</v>
      </c>
      <c r="C63" s="69" t="s">
        <v>1862</v>
      </c>
      <c r="D63" s="142">
        <f>_11_A通院２増４．０</f>
        <v>552</v>
      </c>
      <c r="E63" s="137" t="s">
        <v>394</v>
      </c>
      <c r="F63" s="242"/>
      <c r="G63" s="49"/>
      <c r="H63" s="50"/>
      <c r="I63" s="144" t="s">
        <v>396</v>
      </c>
      <c r="J63" s="131" t="s">
        <v>397</v>
      </c>
      <c r="K63" s="57">
        <v>1</v>
      </c>
      <c r="L63" s="47"/>
      <c r="O63" s="82">
        <f>ROUND((ROUND((ROUND((_11_A通院２増４．０*_11・基礎２),0)*_11・２人),0)*(1+_11・A夜間)),0)</f>
        <v>621</v>
      </c>
      <c r="P63" s="59"/>
    </row>
    <row r="64" spans="1:16" ht="16.5" customHeight="1" x14ac:dyDescent="0.2">
      <c r="A64" s="44">
        <v>16</v>
      </c>
      <c r="B64" s="53">
        <v>7519</v>
      </c>
      <c r="C64" s="69" t="s">
        <v>1863</v>
      </c>
      <c r="D64" s="243" t="s">
        <v>1956</v>
      </c>
      <c r="E64" s="272"/>
      <c r="F64" s="62"/>
      <c r="G64" s="60"/>
      <c r="H64" s="61"/>
      <c r="I64" s="145"/>
      <c r="J64" s="56"/>
      <c r="K64" s="57"/>
      <c r="L64" s="47"/>
      <c r="M64" s="175"/>
      <c r="N64" s="176"/>
      <c r="O64" s="82">
        <f>ROUND((_11_A通院２増４．５*(1+_11・A夜間)),0)</f>
        <v>776</v>
      </c>
      <c r="P64" s="59"/>
    </row>
    <row r="65" spans="1:16" ht="16.5" customHeight="1" x14ac:dyDescent="0.2">
      <c r="A65" s="44">
        <v>16</v>
      </c>
      <c r="B65" s="53">
        <v>7520</v>
      </c>
      <c r="C65" s="69" t="s">
        <v>1864</v>
      </c>
      <c r="D65" s="273"/>
      <c r="E65" s="274"/>
      <c r="F65" s="54"/>
      <c r="G65" s="49"/>
      <c r="H65" s="50"/>
      <c r="I65" s="144" t="s">
        <v>396</v>
      </c>
      <c r="J65" s="131" t="s">
        <v>397</v>
      </c>
      <c r="K65" s="57">
        <v>1</v>
      </c>
      <c r="L65" s="47"/>
      <c r="M65" s="175"/>
      <c r="N65" s="176"/>
      <c r="O65" s="82">
        <f>ROUND((ROUND((_11_A通院２増４．５*_11・２人),0)*(1+_11・A夜間)),0)</f>
        <v>776</v>
      </c>
      <c r="P65" s="59"/>
    </row>
    <row r="66" spans="1:16" ht="16.5" customHeight="1" x14ac:dyDescent="0.2">
      <c r="A66" s="44">
        <v>16</v>
      </c>
      <c r="B66" s="53">
        <v>7521</v>
      </c>
      <c r="C66" s="69" t="s">
        <v>1865</v>
      </c>
      <c r="D66" s="273"/>
      <c r="E66" s="274"/>
      <c r="F66" s="241" t="s">
        <v>398</v>
      </c>
      <c r="G66" s="132" t="s">
        <v>397</v>
      </c>
      <c r="H66" s="61">
        <v>0.9</v>
      </c>
      <c r="I66" s="145"/>
      <c r="J66" s="56"/>
      <c r="K66" s="57"/>
      <c r="L66" s="47"/>
      <c r="M66" s="175"/>
      <c r="N66" s="176"/>
      <c r="O66" s="82">
        <f>ROUND((ROUND((_11_A通院２増４．５*_11・基礎２),0)*(1+_11・A夜間)),0)</f>
        <v>699</v>
      </c>
      <c r="P66" s="59"/>
    </row>
    <row r="67" spans="1:16" ht="16.5" customHeight="1" x14ac:dyDescent="0.2">
      <c r="A67" s="44">
        <v>16</v>
      </c>
      <c r="B67" s="53">
        <v>7522</v>
      </c>
      <c r="C67" s="69" t="s">
        <v>1866</v>
      </c>
      <c r="D67" s="143">
        <f>_11_A通院２増４．５</f>
        <v>621</v>
      </c>
      <c r="E67" s="141" t="s">
        <v>394</v>
      </c>
      <c r="F67" s="242"/>
      <c r="G67" s="49"/>
      <c r="H67" s="50"/>
      <c r="I67" s="144" t="s">
        <v>396</v>
      </c>
      <c r="J67" s="131" t="s">
        <v>397</v>
      </c>
      <c r="K67" s="57">
        <v>1</v>
      </c>
      <c r="L67" s="54"/>
      <c r="M67" s="49"/>
      <c r="N67" s="50"/>
      <c r="O67" s="82">
        <f>ROUND((ROUND((ROUND((_11_A通院２増４．５*_11・基礎２),0)*_11・２人),0)*(1+_11・A夜間)),0)</f>
        <v>699</v>
      </c>
      <c r="P67" s="111"/>
    </row>
    <row r="68" spans="1:16" ht="16.5" customHeight="1" x14ac:dyDescent="0.2"/>
    <row r="69" spans="1:16" ht="16.5" customHeight="1" x14ac:dyDescent="0.2"/>
  </sheetData>
  <mergeCells count="30">
    <mergeCell ref="D7:E9"/>
    <mergeCell ref="N8:N9"/>
    <mergeCell ref="F9:F10"/>
    <mergeCell ref="N33:N34"/>
    <mergeCell ref="F34:F35"/>
    <mergeCell ref="D15:E17"/>
    <mergeCell ref="F17:F18"/>
    <mergeCell ref="D11:E13"/>
    <mergeCell ref="F13:F14"/>
    <mergeCell ref="D36:E38"/>
    <mergeCell ref="F38:F39"/>
    <mergeCell ref="D40:E42"/>
    <mergeCell ref="F42:F43"/>
    <mergeCell ref="D19:E21"/>
    <mergeCell ref="F21:F22"/>
    <mergeCell ref="D23:E25"/>
    <mergeCell ref="F25:F26"/>
    <mergeCell ref="D32:E34"/>
    <mergeCell ref="D48:E50"/>
    <mergeCell ref="F50:F51"/>
    <mergeCell ref="D52:E54"/>
    <mergeCell ref="F54:F55"/>
    <mergeCell ref="D44:E46"/>
    <mergeCell ref="F46:F47"/>
    <mergeCell ref="D60:E62"/>
    <mergeCell ref="F62:F63"/>
    <mergeCell ref="D64:E66"/>
    <mergeCell ref="F66:F67"/>
    <mergeCell ref="D56:E58"/>
    <mergeCell ref="F58:F5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W69"/>
  <sheetViews>
    <sheetView workbookViewId="0">
      <selection activeCell="A2" sqref="A2"/>
    </sheetView>
  </sheetViews>
  <sheetFormatPr defaultColWidth="8.90625" defaultRowHeight="14" x14ac:dyDescent="0.2"/>
  <cols>
    <col min="1" max="1" width="4.6328125" style="22" customWidth="1"/>
    <col min="2" max="2" width="7.6328125" style="22" customWidth="1"/>
    <col min="3" max="3" width="37.453125" style="23" customWidth="1"/>
    <col min="4" max="4" width="4.90625" style="23" customWidth="1"/>
    <col min="5" max="5" width="4.90625" style="25" customWidth="1"/>
    <col min="6" max="6" width="12" style="25" customWidth="1"/>
    <col min="7" max="7" width="2.453125" style="25" customWidth="1"/>
    <col min="8" max="8" width="4.453125" style="26" bestFit="1" customWidth="1"/>
    <col min="9" max="9" width="26" style="25" customWidth="1"/>
    <col min="10" max="10" width="2.453125" style="25" customWidth="1"/>
    <col min="11" max="11" width="5.453125" style="26" bestFit="1" customWidth="1"/>
    <col min="12" max="12" width="2.453125" style="25" customWidth="1"/>
    <col min="13" max="13" width="3.90625" style="25" customWidth="1"/>
    <col min="14" max="14" width="4.453125" style="26" bestFit="1" customWidth="1"/>
    <col min="15" max="15" width="7.08984375" style="28" customWidth="1"/>
    <col min="16" max="16" width="8.6328125" style="29" customWidth="1"/>
    <col min="17" max="21" width="8.90625" style="25"/>
    <col min="22" max="22" width="7.6328125" style="22" customWidth="1"/>
    <col min="23" max="16384" width="8.90625" style="25"/>
  </cols>
  <sheetData>
    <row r="1" spans="1:23" ht="17.149999999999999" customHeight="1" x14ac:dyDescent="0.2"/>
    <row r="2" spans="1:23" ht="17.149999999999999" customHeight="1" x14ac:dyDescent="0.2">
      <c r="A2" s="236" t="s">
        <v>2795</v>
      </c>
    </row>
    <row r="3" spans="1:23" ht="17.149999999999999" customHeight="1" x14ac:dyDescent="0.2"/>
    <row r="4" spans="1:23" ht="17.149999999999999" customHeight="1" x14ac:dyDescent="0.2">
      <c r="B4" s="30" t="s">
        <v>2787</v>
      </c>
      <c r="D4" s="65"/>
      <c r="V4" s="30" t="s">
        <v>2787</v>
      </c>
    </row>
    <row r="5" spans="1:23" ht="16.5" customHeight="1" x14ac:dyDescent="0.2">
      <c r="A5" s="31" t="s">
        <v>386</v>
      </c>
      <c r="B5" s="32"/>
      <c r="C5" s="33" t="s">
        <v>387</v>
      </c>
      <c r="D5" s="34" t="s">
        <v>388</v>
      </c>
      <c r="E5" s="34"/>
      <c r="F5" s="34"/>
      <c r="G5" s="34"/>
      <c r="H5" s="35"/>
      <c r="I5" s="34"/>
      <c r="J5" s="34"/>
      <c r="K5" s="35"/>
      <c r="L5" s="34"/>
      <c r="M5" s="34"/>
      <c r="N5" s="35"/>
      <c r="O5" s="36" t="s">
        <v>389</v>
      </c>
      <c r="P5" s="33" t="s">
        <v>390</v>
      </c>
      <c r="V5" s="32"/>
    </row>
    <row r="6" spans="1:23" ht="16.5" customHeight="1" x14ac:dyDescent="0.2">
      <c r="A6" s="37" t="s">
        <v>391</v>
      </c>
      <c r="B6" s="37" t="s">
        <v>392</v>
      </c>
      <c r="C6" s="38"/>
      <c r="D6" s="40"/>
      <c r="E6" s="40"/>
      <c r="F6" s="40"/>
      <c r="G6" s="40"/>
      <c r="H6" s="41"/>
      <c r="I6" s="40"/>
      <c r="J6" s="40"/>
      <c r="K6" s="41"/>
      <c r="L6" s="40"/>
      <c r="M6" s="40"/>
      <c r="N6" s="41"/>
      <c r="O6" s="42" t="s">
        <v>393</v>
      </c>
      <c r="P6" s="43" t="s">
        <v>394</v>
      </c>
      <c r="V6" s="37" t="s">
        <v>392</v>
      </c>
    </row>
    <row r="7" spans="1:23" ht="16.5" customHeight="1" x14ac:dyDescent="0.2">
      <c r="A7" s="184">
        <v>16</v>
      </c>
      <c r="B7" s="184">
        <v>7737</v>
      </c>
      <c r="C7" s="207" t="s">
        <v>2679</v>
      </c>
      <c r="D7" s="259" t="s">
        <v>1943</v>
      </c>
      <c r="E7" s="287"/>
      <c r="F7" s="185"/>
      <c r="G7" s="186"/>
      <c r="H7" s="187"/>
      <c r="I7" s="194"/>
      <c r="J7" s="189"/>
      <c r="K7" s="190"/>
      <c r="L7" s="208" t="s">
        <v>399</v>
      </c>
      <c r="M7" s="186"/>
      <c r="N7" s="222"/>
      <c r="O7" s="223">
        <v>88</v>
      </c>
      <c r="P7" s="192" t="s">
        <v>395</v>
      </c>
      <c r="V7" s="184" t="s">
        <v>2487</v>
      </c>
      <c r="W7" s="25" t="s">
        <v>2792</v>
      </c>
    </row>
    <row r="8" spans="1:23" ht="16.5" customHeight="1" x14ac:dyDescent="0.2">
      <c r="A8" s="193">
        <v>16</v>
      </c>
      <c r="B8" s="184">
        <v>7738</v>
      </c>
      <c r="C8" s="210" t="s">
        <v>2680</v>
      </c>
      <c r="D8" s="288"/>
      <c r="E8" s="287"/>
      <c r="F8" s="194"/>
      <c r="G8" s="189"/>
      <c r="H8" s="190"/>
      <c r="I8" s="214" t="s">
        <v>396</v>
      </c>
      <c r="J8" s="215" t="s">
        <v>397</v>
      </c>
      <c r="K8" s="197">
        <v>1</v>
      </c>
      <c r="L8" s="224" t="s">
        <v>397</v>
      </c>
      <c r="M8" s="187">
        <v>0.25</v>
      </c>
      <c r="N8" s="291" t="s">
        <v>400</v>
      </c>
      <c r="O8" s="225">
        <v>88</v>
      </c>
      <c r="P8" s="199"/>
      <c r="V8" s="184" t="s">
        <v>2488</v>
      </c>
    </row>
    <row r="9" spans="1:23" ht="16.5" customHeight="1" x14ac:dyDescent="0.2">
      <c r="A9" s="193">
        <v>16</v>
      </c>
      <c r="B9" s="184">
        <v>7739</v>
      </c>
      <c r="C9" s="210" t="s">
        <v>2681</v>
      </c>
      <c r="D9" s="288"/>
      <c r="E9" s="287"/>
      <c r="F9" s="262" t="s">
        <v>398</v>
      </c>
      <c r="G9" s="216" t="s">
        <v>397</v>
      </c>
      <c r="H9" s="201">
        <v>0.9</v>
      </c>
      <c r="I9" s="226"/>
      <c r="J9" s="196"/>
      <c r="K9" s="197"/>
      <c r="L9" s="185"/>
      <c r="M9" s="186"/>
      <c r="N9" s="287"/>
      <c r="O9" s="225">
        <v>79</v>
      </c>
      <c r="P9" s="199"/>
      <c r="V9" s="184" t="s">
        <v>2489</v>
      </c>
    </row>
    <row r="10" spans="1:23" ht="16.5" customHeight="1" x14ac:dyDescent="0.2">
      <c r="A10" s="193">
        <v>16</v>
      </c>
      <c r="B10" s="184">
        <v>7740</v>
      </c>
      <c r="C10" s="210" t="s">
        <v>2682</v>
      </c>
      <c r="D10" s="218">
        <v>70</v>
      </c>
      <c r="E10" s="219" t="s">
        <v>394</v>
      </c>
      <c r="F10" s="289"/>
      <c r="G10" s="189"/>
      <c r="H10" s="190"/>
      <c r="I10" s="214" t="s">
        <v>396</v>
      </c>
      <c r="J10" s="215" t="s">
        <v>397</v>
      </c>
      <c r="K10" s="197">
        <v>1</v>
      </c>
      <c r="L10" s="185"/>
      <c r="M10" s="186"/>
      <c r="N10" s="222"/>
      <c r="O10" s="225">
        <v>79</v>
      </c>
      <c r="P10" s="199"/>
      <c r="V10" s="184" t="s">
        <v>2490</v>
      </c>
    </row>
    <row r="11" spans="1:23" ht="16.5" customHeight="1" x14ac:dyDescent="0.2">
      <c r="A11" s="193">
        <v>16</v>
      </c>
      <c r="B11" s="184">
        <v>7741</v>
      </c>
      <c r="C11" s="210" t="s">
        <v>2683</v>
      </c>
      <c r="D11" s="264" t="s">
        <v>1944</v>
      </c>
      <c r="E11" s="290"/>
      <c r="F11" s="202"/>
      <c r="G11" s="200"/>
      <c r="H11" s="201"/>
      <c r="I11" s="226"/>
      <c r="J11" s="196"/>
      <c r="K11" s="197"/>
      <c r="L11" s="185"/>
      <c r="M11" s="186"/>
      <c r="N11" s="187"/>
      <c r="O11" s="225">
        <v>174</v>
      </c>
      <c r="P11" s="199"/>
      <c r="V11" s="184" t="s">
        <v>2491</v>
      </c>
    </row>
    <row r="12" spans="1:23" ht="16.5" customHeight="1" x14ac:dyDescent="0.2">
      <c r="A12" s="193">
        <v>16</v>
      </c>
      <c r="B12" s="184">
        <v>7742</v>
      </c>
      <c r="C12" s="210" t="s">
        <v>2684</v>
      </c>
      <c r="D12" s="288"/>
      <c r="E12" s="287"/>
      <c r="F12" s="194"/>
      <c r="G12" s="189"/>
      <c r="H12" s="190"/>
      <c r="I12" s="214" t="s">
        <v>396</v>
      </c>
      <c r="J12" s="215" t="s">
        <v>397</v>
      </c>
      <c r="K12" s="197">
        <v>1</v>
      </c>
      <c r="L12" s="185"/>
      <c r="M12" s="186"/>
      <c r="N12" s="187"/>
      <c r="O12" s="225">
        <v>174</v>
      </c>
      <c r="P12" s="199"/>
      <c r="V12" s="184" t="s">
        <v>2492</v>
      </c>
    </row>
    <row r="13" spans="1:23" ht="16.5" customHeight="1" x14ac:dyDescent="0.2">
      <c r="A13" s="193">
        <v>16</v>
      </c>
      <c r="B13" s="184">
        <v>7743</v>
      </c>
      <c r="C13" s="210" t="s">
        <v>2685</v>
      </c>
      <c r="D13" s="288"/>
      <c r="E13" s="287"/>
      <c r="F13" s="262" t="s">
        <v>398</v>
      </c>
      <c r="G13" s="216" t="s">
        <v>397</v>
      </c>
      <c r="H13" s="201">
        <v>0.9</v>
      </c>
      <c r="I13" s="226"/>
      <c r="J13" s="196"/>
      <c r="K13" s="197"/>
      <c r="L13" s="185"/>
      <c r="M13" s="186"/>
      <c r="N13" s="187"/>
      <c r="O13" s="225">
        <v>156</v>
      </c>
      <c r="P13" s="199"/>
      <c r="V13" s="184" t="s">
        <v>2493</v>
      </c>
    </row>
    <row r="14" spans="1:23" ht="16.5" customHeight="1" x14ac:dyDescent="0.2">
      <c r="A14" s="193">
        <v>16</v>
      </c>
      <c r="B14" s="184">
        <v>7744</v>
      </c>
      <c r="C14" s="210" t="s">
        <v>2686</v>
      </c>
      <c r="D14" s="218">
        <v>139</v>
      </c>
      <c r="E14" s="227" t="s">
        <v>394</v>
      </c>
      <c r="F14" s="289"/>
      <c r="G14" s="189"/>
      <c r="H14" s="190"/>
      <c r="I14" s="214" t="s">
        <v>396</v>
      </c>
      <c r="J14" s="215" t="s">
        <v>397</v>
      </c>
      <c r="K14" s="197">
        <v>1</v>
      </c>
      <c r="L14" s="185"/>
      <c r="M14" s="186"/>
      <c r="N14" s="187"/>
      <c r="O14" s="225">
        <v>156</v>
      </c>
      <c r="P14" s="199"/>
      <c r="V14" s="184" t="s">
        <v>2494</v>
      </c>
    </row>
    <row r="15" spans="1:23" ht="16.5" customHeight="1" x14ac:dyDescent="0.2">
      <c r="A15" s="193">
        <v>16</v>
      </c>
      <c r="B15" s="184">
        <v>7745</v>
      </c>
      <c r="C15" s="210" t="s">
        <v>2687</v>
      </c>
      <c r="D15" s="264" t="s">
        <v>1945</v>
      </c>
      <c r="E15" s="290"/>
      <c r="F15" s="202"/>
      <c r="G15" s="200"/>
      <c r="H15" s="201"/>
      <c r="I15" s="226"/>
      <c r="J15" s="196"/>
      <c r="K15" s="197"/>
      <c r="L15" s="185"/>
      <c r="M15" s="186"/>
      <c r="N15" s="187"/>
      <c r="O15" s="225">
        <v>260</v>
      </c>
      <c r="P15" s="199"/>
      <c r="V15" s="184" t="s">
        <v>2495</v>
      </c>
    </row>
    <row r="16" spans="1:23" ht="16.5" customHeight="1" x14ac:dyDescent="0.2">
      <c r="A16" s="193">
        <v>16</v>
      </c>
      <c r="B16" s="184">
        <v>7746</v>
      </c>
      <c r="C16" s="210" t="s">
        <v>2688</v>
      </c>
      <c r="D16" s="288"/>
      <c r="E16" s="287"/>
      <c r="F16" s="194"/>
      <c r="G16" s="189"/>
      <c r="H16" s="190"/>
      <c r="I16" s="214" t="s">
        <v>396</v>
      </c>
      <c r="J16" s="215" t="s">
        <v>397</v>
      </c>
      <c r="K16" s="197">
        <v>1</v>
      </c>
      <c r="L16" s="185"/>
      <c r="M16" s="186"/>
      <c r="N16" s="187"/>
      <c r="O16" s="225">
        <v>260</v>
      </c>
      <c r="P16" s="199"/>
      <c r="V16" s="184" t="s">
        <v>2496</v>
      </c>
    </row>
    <row r="17" spans="1:22" ht="16.5" customHeight="1" x14ac:dyDescent="0.2">
      <c r="A17" s="193">
        <v>16</v>
      </c>
      <c r="B17" s="184">
        <v>7747</v>
      </c>
      <c r="C17" s="210" t="s">
        <v>2689</v>
      </c>
      <c r="D17" s="288"/>
      <c r="E17" s="287"/>
      <c r="F17" s="262" t="s">
        <v>398</v>
      </c>
      <c r="G17" s="216" t="s">
        <v>397</v>
      </c>
      <c r="H17" s="201">
        <v>0.9</v>
      </c>
      <c r="I17" s="226"/>
      <c r="J17" s="196"/>
      <c r="K17" s="197"/>
      <c r="L17" s="185"/>
      <c r="M17" s="186"/>
      <c r="N17" s="187"/>
      <c r="O17" s="225">
        <v>234</v>
      </c>
      <c r="P17" s="199"/>
      <c r="V17" s="184" t="s">
        <v>2497</v>
      </c>
    </row>
    <row r="18" spans="1:22" ht="16.5" customHeight="1" x14ac:dyDescent="0.2">
      <c r="A18" s="193">
        <v>16</v>
      </c>
      <c r="B18" s="184">
        <v>7748</v>
      </c>
      <c r="C18" s="210" t="s">
        <v>2690</v>
      </c>
      <c r="D18" s="218">
        <v>208</v>
      </c>
      <c r="E18" s="227" t="s">
        <v>394</v>
      </c>
      <c r="F18" s="289"/>
      <c r="G18" s="189"/>
      <c r="H18" s="190"/>
      <c r="I18" s="214" t="s">
        <v>396</v>
      </c>
      <c r="J18" s="215" t="s">
        <v>397</v>
      </c>
      <c r="K18" s="197">
        <v>1</v>
      </c>
      <c r="L18" s="185"/>
      <c r="M18" s="186"/>
      <c r="N18" s="187"/>
      <c r="O18" s="225">
        <v>234</v>
      </c>
      <c r="P18" s="199"/>
      <c r="V18" s="184" t="s">
        <v>2498</v>
      </c>
    </row>
    <row r="19" spans="1:22" ht="16.5" customHeight="1" x14ac:dyDescent="0.2">
      <c r="A19" s="193">
        <v>16</v>
      </c>
      <c r="B19" s="184">
        <v>7749</v>
      </c>
      <c r="C19" s="210" t="s">
        <v>2691</v>
      </c>
      <c r="D19" s="264" t="s">
        <v>1946</v>
      </c>
      <c r="E19" s="290"/>
      <c r="F19" s="202"/>
      <c r="G19" s="200"/>
      <c r="H19" s="201"/>
      <c r="I19" s="226"/>
      <c r="J19" s="196"/>
      <c r="K19" s="197"/>
      <c r="L19" s="185"/>
      <c r="M19" s="186"/>
      <c r="N19" s="187"/>
      <c r="O19" s="225">
        <v>346</v>
      </c>
      <c r="P19" s="199"/>
      <c r="V19" s="184" t="s">
        <v>2499</v>
      </c>
    </row>
    <row r="20" spans="1:22" ht="16.5" customHeight="1" x14ac:dyDescent="0.2">
      <c r="A20" s="193">
        <v>16</v>
      </c>
      <c r="B20" s="184">
        <v>7750</v>
      </c>
      <c r="C20" s="210" t="s">
        <v>2692</v>
      </c>
      <c r="D20" s="288"/>
      <c r="E20" s="287"/>
      <c r="F20" s="194"/>
      <c r="G20" s="189"/>
      <c r="H20" s="190"/>
      <c r="I20" s="214" t="s">
        <v>396</v>
      </c>
      <c r="J20" s="215" t="s">
        <v>397</v>
      </c>
      <c r="K20" s="197">
        <v>1</v>
      </c>
      <c r="L20" s="185"/>
      <c r="M20" s="186"/>
      <c r="N20" s="187"/>
      <c r="O20" s="225">
        <v>346</v>
      </c>
      <c r="P20" s="199"/>
      <c r="V20" s="184" t="s">
        <v>2500</v>
      </c>
    </row>
    <row r="21" spans="1:22" ht="16.5" customHeight="1" x14ac:dyDescent="0.2">
      <c r="A21" s="193">
        <v>16</v>
      </c>
      <c r="B21" s="184">
        <v>7751</v>
      </c>
      <c r="C21" s="210" t="s">
        <v>2693</v>
      </c>
      <c r="D21" s="288"/>
      <c r="E21" s="287"/>
      <c r="F21" s="262" t="s">
        <v>398</v>
      </c>
      <c r="G21" s="216" t="s">
        <v>397</v>
      </c>
      <c r="H21" s="201">
        <v>0.9</v>
      </c>
      <c r="I21" s="226"/>
      <c r="J21" s="196"/>
      <c r="K21" s="197"/>
      <c r="L21" s="185"/>
      <c r="M21" s="186"/>
      <c r="N21" s="187"/>
      <c r="O21" s="225">
        <v>311</v>
      </c>
      <c r="P21" s="199"/>
      <c r="V21" s="184" t="s">
        <v>2501</v>
      </c>
    </row>
    <row r="22" spans="1:22" ht="16.5" customHeight="1" x14ac:dyDescent="0.2">
      <c r="A22" s="193">
        <v>16</v>
      </c>
      <c r="B22" s="184">
        <v>7752</v>
      </c>
      <c r="C22" s="210" t="s">
        <v>2694</v>
      </c>
      <c r="D22" s="218">
        <v>277</v>
      </c>
      <c r="E22" s="227" t="s">
        <v>394</v>
      </c>
      <c r="F22" s="289"/>
      <c r="G22" s="189"/>
      <c r="H22" s="190"/>
      <c r="I22" s="214" t="s">
        <v>396</v>
      </c>
      <c r="J22" s="215" t="s">
        <v>397</v>
      </c>
      <c r="K22" s="197">
        <v>1</v>
      </c>
      <c r="L22" s="185"/>
      <c r="M22" s="186"/>
      <c r="N22" s="187"/>
      <c r="O22" s="225">
        <v>311</v>
      </c>
      <c r="P22" s="199"/>
      <c r="V22" s="184" t="s">
        <v>2502</v>
      </c>
    </row>
    <row r="23" spans="1:22" ht="16.5" customHeight="1" x14ac:dyDescent="0.2">
      <c r="A23" s="193">
        <v>16</v>
      </c>
      <c r="B23" s="184">
        <v>7753</v>
      </c>
      <c r="C23" s="210" t="s">
        <v>2695</v>
      </c>
      <c r="D23" s="264" t="s">
        <v>1947</v>
      </c>
      <c r="E23" s="290"/>
      <c r="F23" s="202"/>
      <c r="G23" s="200"/>
      <c r="H23" s="201"/>
      <c r="I23" s="226"/>
      <c r="J23" s="196"/>
      <c r="K23" s="197"/>
      <c r="L23" s="185"/>
      <c r="M23" s="186"/>
      <c r="N23" s="187"/>
      <c r="O23" s="225">
        <v>433</v>
      </c>
      <c r="P23" s="199"/>
      <c r="V23" s="184" t="s">
        <v>2503</v>
      </c>
    </row>
    <row r="24" spans="1:22" ht="16.5" customHeight="1" x14ac:dyDescent="0.2">
      <c r="A24" s="193">
        <v>16</v>
      </c>
      <c r="B24" s="184">
        <v>7754</v>
      </c>
      <c r="C24" s="210" t="s">
        <v>2696</v>
      </c>
      <c r="D24" s="288"/>
      <c r="E24" s="287"/>
      <c r="F24" s="194"/>
      <c r="G24" s="189"/>
      <c r="H24" s="190"/>
      <c r="I24" s="214" t="s">
        <v>396</v>
      </c>
      <c r="J24" s="215" t="s">
        <v>397</v>
      </c>
      <c r="K24" s="197">
        <v>1</v>
      </c>
      <c r="L24" s="185"/>
      <c r="M24" s="186"/>
      <c r="N24" s="187"/>
      <c r="O24" s="225">
        <v>433</v>
      </c>
      <c r="P24" s="199"/>
      <c r="V24" s="184" t="s">
        <v>2504</v>
      </c>
    </row>
    <row r="25" spans="1:22" ht="16.5" customHeight="1" x14ac:dyDescent="0.2">
      <c r="A25" s="193">
        <v>16</v>
      </c>
      <c r="B25" s="184">
        <v>7755</v>
      </c>
      <c r="C25" s="210" t="s">
        <v>2697</v>
      </c>
      <c r="D25" s="288"/>
      <c r="E25" s="287"/>
      <c r="F25" s="262" t="s">
        <v>398</v>
      </c>
      <c r="G25" s="216" t="s">
        <v>397</v>
      </c>
      <c r="H25" s="201">
        <v>0.9</v>
      </c>
      <c r="I25" s="226"/>
      <c r="J25" s="196"/>
      <c r="K25" s="197"/>
      <c r="L25" s="185"/>
      <c r="M25" s="186"/>
      <c r="N25" s="187"/>
      <c r="O25" s="225">
        <v>389</v>
      </c>
      <c r="P25" s="199"/>
      <c r="V25" s="184" t="s">
        <v>2505</v>
      </c>
    </row>
    <row r="26" spans="1:22" ht="16.5" customHeight="1" x14ac:dyDescent="0.2">
      <c r="A26" s="193">
        <v>16</v>
      </c>
      <c r="B26" s="184">
        <v>7756</v>
      </c>
      <c r="C26" s="210" t="s">
        <v>2698</v>
      </c>
      <c r="D26" s="220">
        <v>346</v>
      </c>
      <c r="E26" s="228" t="s">
        <v>394</v>
      </c>
      <c r="F26" s="289"/>
      <c r="G26" s="189"/>
      <c r="H26" s="190"/>
      <c r="I26" s="214" t="s">
        <v>396</v>
      </c>
      <c r="J26" s="215" t="s">
        <v>397</v>
      </c>
      <c r="K26" s="197">
        <v>1</v>
      </c>
      <c r="L26" s="194"/>
      <c r="M26" s="189"/>
      <c r="N26" s="190"/>
      <c r="O26" s="225">
        <v>389</v>
      </c>
      <c r="P26" s="205"/>
      <c r="V26" s="184" t="s">
        <v>2506</v>
      </c>
    </row>
    <row r="27" spans="1:22" ht="16.5" customHeight="1" x14ac:dyDescent="0.2">
      <c r="A27" s="71"/>
      <c r="B27" s="71"/>
      <c r="C27" s="72"/>
      <c r="I27" s="73"/>
      <c r="O27" s="74"/>
      <c r="P27" s="75"/>
      <c r="V27" s="71"/>
    </row>
    <row r="28" spans="1:22" ht="16.5" customHeight="1" x14ac:dyDescent="0.2">
      <c r="A28" s="71"/>
      <c r="B28" s="71"/>
      <c r="C28" s="72"/>
      <c r="I28" s="73"/>
      <c r="O28" s="74"/>
      <c r="P28" s="75"/>
      <c r="V28" s="71"/>
    </row>
    <row r="29" spans="1:22" ht="16.5" customHeight="1" x14ac:dyDescent="0.2">
      <c r="A29" s="71"/>
      <c r="B29" s="76" t="s">
        <v>2788</v>
      </c>
      <c r="C29" s="72"/>
      <c r="D29" s="65"/>
      <c r="I29" s="73"/>
      <c r="O29" s="74"/>
      <c r="P29" s="75"/>
      <c r="V29" s="76" t="s">
        <v>2788</v>
      </c>
    </row>
    <row r="30" spans="1:22" ht="16.5" customHeight="1" x14ac:dyDescent="0.2">
      <c r="A30" s="77" t="s">
        <v>386</v>
      </c>
      <c r="B30" s="32"/>
      <c r="C30" s="78" t="s">
        <v>387</v>
      </c>
      <c r="D30" s="34" t="s">
        <v>388</v>
      </c>
      <c r="E30" s="34"/>
      <c r="F30" s="34"/>
      <c r="G30" s="34"/>
      <c r="H30" s="35"/>
      <c r="I30" s="146"/>
      <c r="J30" s="34"/>
      <c r="K30" s="35"/>
      <c r="L30" s="34"/>
      <c r="M30" s="34"/>
      <c r="N30" s="35"/>
      <c r="O30" s="36" t="s">
        <v>389</v>
      </c>
      <c r="P30" s="33" t="s">
        <v>390</v>
      </c>
      <c r="V30" s="32"/>
    </row>
    <row r="31" spans="1:22" ht="16.5" customHeight="1" x14ac:dyDescent="0.2">
      <c r="A31" s="37" t="s">
        <v>391</v>
      </c>
      <c r="B31" s="37" t="s">
        <v>392</v>
      </c>
      <c r="C31" s="79"/>
      <c r="D31" s="40"/>
      <c r="E31" s="40"/>
      <c r="F31" s="40"/>
      <c r="G31" s="40"/>
      <c r="H31" s="41"/>
      <c r="I31" s="147"/>
      <c r="J31" s="40"/>
      <c r="K31" s="41"/>
      <c r="L31" s="40"/>
      <c r="M31" s="40"/>
      <c r="N31" s="41"/>
      <c r="O31" s="42" t="s">
        <v>393</v>
      </c>
      <c r="P31" s="43" t="s">
        <v>394</v>
      </c>
      <c r="V31" s="37" t="s">
        <v>392</v>
      </c>
    </row>
    <row r="32" spans="1:22" ht="16.5" customHeight="1" x14ac:dyDescent="0.2">
      <c r="A32" s="193">
        <v>16</v>
      </c>
      <c r="B32" s="184">
        <v>7757</v>
      </c>
      <c r="C32" s="210" t="s">
        <v>2699</v>
      </c>
      <c r="D32" s="264" t="s">
        <v>1948</v>
      </c>
      <c r="E32" s="290"/>
      <c r="F32" s="202"/>
      <c r="G32" s="200"/>
      <c r="H32" s="201"/>
      <c r="I32" s="229"/>
      <c r="J32" s="196"/>
      <c r="K32" s="197"/>
      <c r="L32" s="202" t="s">
        <v>401</v>
      </c>
      <c r="M32" s="200"/>
      <c r="N32" s="230"/>
      <c r="O32" s="231">
        <v>88</v>
      </c>
      <c r="P32" s="206" t="s">
        <v>395</v>
      </c>
      <c r="V32" s="184" t="s">
        <v>2507</v>
      </c>
    </row>
    <row r="33" spans="1:22" ht="16.5" customHeight="1" x14ac:dyDescent="0.2">
      <c r="A33" s="193">
        <v>16</v>
      </c>
      <c r="B33" s="184">
        <v>7758</v>
      </c>
      <c r="C33" s="210" t="s">
        <v>2700</v>
      </c>
      <c r="D33" s="288"/>
      <c r="E33" s="287"/>
      <c r="F33" s="194"/>
      <c r="G33" s="189"/>
      <c r="H33" s="190"/>
      <c r="I33" s="214" t="s">
        <v>396</v>
      </c>
      <c r="J33" s="215" t="s">
        <v>397</v>
      </c>
      <c r="K33" s="197">
        <v>1</v>
      </c>
      <c r="L33" s="224" t="s">
        <v>397</v>
      </c>
      <c r="M33" s="187">
        <v>0.25</v>
      </c>
      <c r="N33" s="291" t="s">
        <v>400</v>
      </c>
      <c r="O33" s="231">
        <v>88</v>
      </c>
      <c r="P33" s="199"/>
      <c r="V33" s="184" t="s">
        <v>2508</v>
      </c>
    </row>
    <row r="34" spans="1:22" ht="16.5" customHeight="1" x14ac:dyDescent="0.2">
      <c r="A34" s="193">
        <v>16</v>
      </c>
      <c r="B34" s="184">
        <v>7759</v>
      </c>
      <c r="C34" s="210" t="s">
        <v>2701</v>
      </c>
      <c r="D34" s="288"/>
      <c r="E34" s="287"/>
      <c r="F34" s="262" t="s">
        <v>398</v>
      </c>
      <c r="G34" s="216" t="s">
        <v>397</v>
      </c>
      <c r="H34" s="201">
        <v>0.9</v>
      </c>
      <c r="I34" s="229"/>
      <c r="J34" s="196"/>
      <c r="K34" s="197"/>
      <c r="L34" s="185"/>
      <c r="M34" s="186"/>
      <c r="N34" s="287"/>
      <c r="O34" s="231">
        <v>79</v>
      </c>
      <c r="P34" s="199"/>
      <c r="V34" s="184" t="s">
        <v>2509</v>
      </c>
    </row>
    <row r="35" spans="1:22" ht="16.5" customHeight="1" x14ac:dyDescent="0.2">
      <c r="A35" s="193">
        <v>16</v>
      </c>
      <c r="B35" s="184">
        <v>7760</v>
      </c>
      <c r="C35" s="210" t="s">
        <v>2702</v>
      </c>
      <c r="D35" s="218">
        <v>70</v>
      </c>
      <c r="E35" s="227" t="s">
        <v>394</v>
      </c>
      <c r="F35" s="289"/>
      <c r="G35" s="189"/>
      <c r="H35" s="190"/>
      <c r="I35" s="214" t="s">
        <v>396</v>
      </c>
      <c r="J35" s="215" t="s">
        <v>397</v>
      </c>
      <c r="K35" s="197">
        <v>1</v>
      </c>
      <c r="L35" s="185"/>
      <c r="M35" s="186"/>
      <c r="N35" s="222"/>
      <c r="O35" s="231">
        <v>79</v>
      </c>
      <c r="P35" s="199"/>
      <c r="V35" s="184" t="s">
        <v>2510</v>
      </c>
    </row>
    <row r="36" spans="1:22" ht="16.5" customHeight="1" x14ac:dyDescent="0.2">
      <c r="A36" s="193">
        <v>16</v>
      </c>
      <c r="B36" s="184">
        <v>7761</v>
      </c>
      <c r="C36" s="210" t="s">
        <v>2703</v>
      </c>
      <c r="D36" s="264" t="s">
        <v>1949</v>
      </c>
      <c r="E36" s="290"/>
      <c r="F36" s="202"/>
      <c r="G36" s="200"/>
      <c r="H36" s="201"/>
      <c r="I36" s="229"/>
      <c r="J36" s="196"/>
      <c r="K36" s="197"/>
      <c r="L36" s="185"/>
      <c r="M36" s="186"/>
      <c r="N36" s="187"/>
      <c r="O36" s="231">
        <v>174</v>
      </c>
      <c r="P36" s="199"/>
      <c r="V36" s="184" t="s">
        <v>2511</v>
      </c>
    </row>
    <row r="37" spans="1:22" ht="16.5" customHeight="1" x14ac:dyDescent="0.2">
      <c r="A37" s="193">
        <v>16</v>
      </c>
      <c r="B37" s="184">
        <v>7762</v>
      </c>
      <c r="C37" s="210" t="s">
        <v>2704</v>
      </c>
      <c r="D37" s="288"/>
      <c r="E37" s="287"/>
      <c r="F37" s="194"/>
      <c r="G37" s="189"/>
      <c r="H37" s="190"/>
      <c r="I37" s="214" t="s">
        <v>396</v>
      </c>
      <c r="J37" s="215" t="s">
        <v>397</v>
      </c>
      <c r="K37" s="197">
        <v>1</v>
      </c>
      <c r="L37" s="185"/>
      <c r="M37" s="186"/>
      <c r="N37" s="187"/>
      <c r="O37" s="231">
        <v>174</v>
      </c>
      <c r="P37" s="199"/>
      <c r="V37" s="184" t="s">
        <v>2512</v>
      </c>
    </row>
    <row r="38" spans="1:22" ht="16.5" customHeight="1" x14ac:dyDescent="0.2">
      <c r="A38" s="193">
        <v>16</v>
      </c>
      <c r="B38" s="184">
        <v>7763</v>
      </c>
      <c r="C38" s="210" t="s">
        <v>2705</v>
      </c>
      <c r="D38" s="288"/>
      <c r="E38" s="287"/>
      <c r="F38" s="262" t="s">
        <v>398</v>
      </c>
      <c r="G38" s="216" t="s">
        <v>397</v>
      </c>
      <c r="H38" s="201">
        <v>0.9</v>
      </c>
      <c r="I38" s="229"/>
      <c r="J38" s="196"/>
      <c r="K38" s="197"/>
      <c r="L38" s="185"/>
      <c r="M38" s="186"/>
      <c r="N38" s="187"/>
      <c r="O38" s="231">
        <v>156</v>
      </c>
      <c r="P38" s="199"/>
      <c r="V38" s="184" t="s">
        <v>2513</v>
      </c>
    </row>
    <row r="39" spans="1:22" ht="16.5" customHeight="1" x14ac:dyDescent="0.2">
      <c r="A39" s="193">
        <v>16</v>
      </c>
      <c r="B39" s="184">
        <v>7764</v>
      </c>
      <c r="C39" s="210" t="s">
        <v>2706</v>
      </c>
      <c r="D39" s="218">
        <v>139</v>
      </c>
      <c r="E39" s="227" t="s">
        <v>394</v>
      </c>
      <c r="F39" s="289"/>
      <c r="G39" s="189"/>
      <c r="H39" s="190"/>
      <c r="I39" s="214" t="s">
        <v>396</v>
      </c>
      <c r="J39" s="215" t="s">
        <v>397</v>
      </c>
      <c r="K39" s="197">
        <v>1</v>
      </c>
      <c r="L39" s="185"/>
      <c r="M39" s="186"/>
      <c r="N39" s="187"/>
      <c r="O39" s="231">
        <v>156</v>
      </c>
      <c r="P39" s="199"/>
      <c r="V39" s="184" t="s">
        <v>2514</v>
      </c>
    </row>
    <row r="40" spans="1:22" ht="16.5" customHeight="1" x14ac:dyDescent="0.2">
      <c r="A40" s="193">
        <v>16</v>
      </c>
      <c r="B40" s="184">
        <v>7765</v>
      </c>
      <c r="C40" s="210" t="s">
        <v>2707</v>
      </c>
      <c r="D40" s="264" t="s">
        <v>1950</v>
      </c>
      <c r="E40" s="290"/>
      <c r="F40" s="202"/>
      <c r="G40" s="200"/>
      <c r="H40" s="201"/>
      <c r="I40" s="229"/>
      <c r="J40" s="196"/>
      <c r="K40" s="197"/>
      <c r="L40" s="185"/>
      <c r="M40" s="186"/>
      <c r="N40" s="187"/>
      <c r="O40" s="231">
        <v>260</v>
      </c>
      <c r="P40" s="199"/>
      <c r="V40" s="184" t="s">
        <v>2515</v>
      </c>
    </row>
    <row r="41" spans="1:22" ht="16.5" customHeight="1" x14ac:dyDescent="0.2">
      <c r="A41" s="193">
        <v>16</v>
      </c>
      <c r="B41" s="184">
        <v>7766</v>
      </c>
      <c r="C41" s="210" t="s">
        <v>2708</v>
      </c>
      <c r="D41" s="288"/>
      <c r="E41" s="287"/>
      <c r="F41" s="194"/>
      <c r="G41" s="189"/>
      <c r="H41" s="190"/>
      <c r="I41" s="214" t="s">
        <v>396</v>
      </c>
      <c r="J41" s="215" t="s">
        <v>397</v>
      </c>
      <c r="K41" s="197">
        <v>1</v>
      </c>
      <c r="L41" s="185"/>
      <c r="M41" s="186"/>
      <c r="N41" s="187"/>
      <c r="O41" s="231">
        <v>260</v>
      </c>
      <c r="P41" s="199"/>
      <c r="V41" s="184" t="s">
        <v>2516</v>
      </c>
    </row>
    <row r="42" spans="1:22" ht="16.5" customHeight="1" x14ac:dyDescent="0.2">
      <c r="A42" s="193">
        <v>16</v>
      </c>
      <c r="B42" s="184">
        <v>7767</v>
      </c>
      <c r="C42" s="210" t="s">
        <v>2709</v>
      </c>
      <c r="D42" s="288"/>
      <c r="E42" s="287"/>
      <c r="F42" s="262" t="s">
        <v>398</v>
      </c>
      <c r="G42" s="216" t="s">
        <v>397</v>
      </c>
      <c r="H42" s="201">
        <v>0.9</v>
      </c>
      <c r="I42" s="229"/>
      <c r="J42" s="196"/>
      <c r="K42" s="197"/>
      <c r="L42" s="185"/>
      <c r="M42" s="186"/>
      <c r="N42" s="187"/>
      <c r="O42" s="231">
        <v>234</v>
      </c>
      <c r="P42" s="199"/>
      <c r="V42" s="184" t="s">
        <v>2517</v>
      </c>
    </row>
    <row r="43" spans="1:22" ht="16.5" customHeight="1" x14ac:dyDescent="0.2">
      <c r="A43" s="193">
        <v>16</v>
      </c>
      <c r="B43" s="184">
        <v>7768</v>
      </c>
      <c r="C43" s="210" t="s">
        <v>2710</v>
      </c>
      <c r="D43" s="218">
        <v>208</v>
      </c>
      <c r="E43" s="227" t="s">
        <v>394</v>
      </c>
      <c r="F43" s="289"/>
      <c r="G43" s="189"/>
      <c r="H43" s="190"/>
      <c r="I43" s="214" t="s">
        <v>396</v>
      </c>
      <c r="J43" s="215" t="s">
        <v>397</v>
      </c>
      <c r="K43" s="197">
        <v>1</v>
      </c>
      <c r="L43" s="185"/>
      <c r="M43" s="186"/>
      <c r="N43" s="187"/>
      <c r="O43" s="231">
        <v>234</v>
      </c>
      <c r="P43" s="199"/>
      <c r="V43" s="184" t="s">
        <v>2518</v>
      </c>
    </row>
    <row r="44" spans="1:22" ht="16.5" customHeight="1" x14ac:dyDescent="0.2">
      <c r="A44" s="193">
        <v>16</v>
      </c>
      <c r="B44" s="184">
        <v>7769</v>
      </c>
      <c r="C44" s="210" t="s">
        <v>2711</v>
      </c>
      <c r="D44" s="264" t="s">
        <v>1951</v>
      </c>
      <c r="E44" s="290"/>
      <c r="F44" s="202"/>
      <c r="G44" s="200"/>
      <c r="H44" s="201"/>
      <c r="I44" s="229"/>
      <c r="J44" s="196"/>
      <c r="K44" s="197"/>
      <c r="L44" s="185"/>
      <c r="M44" s="186"/>
      <c r="N44" s="187"/>
      <c r="O44" s="231">
        <v>346</v>
      </c>
      <c r="P44" s="199"/>
      <c r="V44" s="184" t="s">
        <v>2519</v>
      </c>
    </row>
    <row r="45" spans="1:22" ht="16.5" customHeight="1" x14ac:dyDescent="0.2">
      <c r="A45" s="193">
        <v>16</v>
      </c>
      <c r="B45" s="184">
        <v>7770</v>
      </c>
      <c r="C45" s="210" t="s">
        <v>2712</v>
      </c>
      <c r="D45" s="288"/>
      <c r="E45" s="287"/>
      <c r="F45" s="194"/>
      <c r="G45" s="189"/>
      <c r="H45" s="190"/>
      <c r="I45" s="214" t="s">
        <v>396</v>
      </c>
      <c r="J45" s="215" t="s">
        <v>397</v>
      </c>
      <c r="K45" s="197">
        <v>1</v>
      </c>
      <c r="L45" s="185"/>
      <c r="M45" s="186"/>
      <c r="N45" s="187"/>
      <c r="O45" s="231">
        <v>346</v>
      </c>
      <c r="P45" s="199"/>
      <c r="V45" s="184" t="s">
        <v>2520</v>
      </c>
    </row>
    <row r="46" spans="1:22" ht="16.5" customHeight="1" x14ac:dyDescent="0.2">
      <c r="A46" s="193">
        <v>16</v>
      </c>
      <c r="B46" s="184">
        <v>7771</v>
      </c>
      <c r="C46" s="210" t="s">
        <v>2713</v>
      </c>
      <c r="D46" s="288"/>
      <c r="E46" s="287"/>
      <c r="F46" s="262" t="s">
        <v>398</v>
      </c>
      <c r="G46" s="216" t="s">
        <v>397</v>
      </c>
      <c r="H46" s="201">
        <v>0.9</v>
      </c>
      <c r="I46" s="229"/>
      <c r="J46" s="196"/>
      <c r="K46" s="197"/>
      <c r="L46" s="185"/>
      <c r="M46" s="186"/>
      <c r="N46" s="187"/>
      <c r="O46" s="231">
        <v>311</v>
      </c>
      <c r="P46" s="199"/>
      <c r="V46" s="184" t="s">
        <v>2521</v>
      </c>
    </row>
    <row r="47" spans="1:22" ht="16.5" customHeight="1" x14ac:dyDescent="0.2">
      <c r="A47" s="193">
        <v>16</v>
      </c>
      <c r="B47" s="184">
        <v>7772</v>
      </c>
      <c r="C47" s="210" t="s">
        <v>2714</v>
      </c>
      <c r="D47" s="220">
        <v>277</v>
      </c>
      <c r="E47" s="232" t="s">
        <v>394</v>
      </c>
      <c r="F47" s="289"/>
      <c r="G47" s="189"/>
      <c r="H47" s="190"/>
      <c r="I47" s="214" t="s">
        <v>396</v>
      </c>
      <c r="J47" s="215" t="s">
        <v>397</v>
      </c>
      <c r="K47" s="197">
        <v>1</v>
      </c>
      <c r="L47" s="185"/>
      <c r="M47" s="186"/>
      <c r="N47" s="187"/>
      <c r="O47" s="231">
        <v>311</v>
      </c>
      <c r="P47" s="199"/>
      <c r="V47" s="184" t="s">
        <v>2522</v>
      </c>
    </row>
    <row r="48" spans="1:22" ht="16.5" customHeight="1" x14ac:dyDescent="0.2">
      <c r="A48" s="184">
        <v>16</v>
      </c>
      <c r="B48" s="184">
        <v>7773</v>
      </c>
      <c r="C48" s="207" t="s">
        <v>2715</v>
      </c>
      <c r="D48" s="259" t="s">
        <v>1952</v>
      </c>
      <c r="E48" s="287"/>
      <c r="F48" s="185"/>
      <c r="G48" s="186"/>
      <c r="H48" s="187"/>
      <c r="I48" s="233"/>
      <c r="J48" s="189"/>
      <c r="K48" s="190"/>
      <c r="L48" s="185"/>
      <c r="M48" s="186"/>
      <c r="N48" s="222"/>
      <c r="O48" s="234">
        <v>433</v>
      </c>
      <c r="P48" s="199"/>
      <c r="V48" s="184" t="s">
        <v>2523</v>
      </c>
    </row>
    <row r="49" spans="1:22" ht="16.5" customHeight="1" x14ac:dyDescent="0.2">
      <c r="A49" s="193">
        <v>16</v>
      </c>
      <c r="B49" s="184">
        <v>7774</v>
      </c>
      <c r="C49" s="210" t="s">
        <v>2716</v>
      </c>
      <c r="D49" s="288"/>
      <c r="E49" s="287"/>
      <c r="F49" s="194"/>
      <c r="G49" s="189"/>
      <c r="H49" s="190"/>
      <c r="I49" s="214" t="s">
        <v>396</v>
      </c>
      <c r="J49" s="215" t="s">
        <v>397</v>
      </c>
      <c r="K49" s="197">
        <v>1</v>
      </c>
      <c r="L49" s="185"/>
      <c r="M49" s="186"/>
      <c r="N49" s="222"/>
      <c r="O49" s="231">
        <v>433</v>
      </c>
      <c r="P49" s="199"/>
      <c r="V49" s="184" t="s">
        <v>2524</v>
      </c>
    </row>
    <row r="50" spans="1:22" ht="16.5" customHeight="1" x14ac:dyDescent="0.2">
      <c r="A50" s="193">
        <v>16</v>
      </c>
      <c r="B50" s="184">
        <v>7775</v>
      </c>
      <c r="C50" s="210" t="s">
        <v>2717</v>
      </c>
      <c r="D50" s="288"/>
      <c r="E50" s="287"/>
      <c r="F50" s="262" t="s">
        <v>398</v>
      </c>
      <c r="G50" s="216" t="s">
        <v>397</v>
      </c>
      <c r="H50" s="201">
        <v>0.9</v>
      </c>
      <c r="I50" s="229"/>
      <c r="J50" s="196"/>
      <c r="K50" s="197"/>
      <c r="L50" s="185"/>
      <c r="M50" s="186"/>
      <c r="N50" s="187"/>
      <c r="O50" s="231">
        <v>389</v>
      </c>
      <c r="P50" s="199"/>
      <c r="V50" s="184" t="s">
        <v>2525</v>
      </c>
    </row>
    <row r="51" spans="1:22" ht="16.5" customHeight="1" x14ac:dyDescent="0.2">
      <c r="A51" s="193">
        <v>16</v>
      </c>
      <c r="B51" s="184">
        <v>7776</v>
      </c>
      <c r="C51" s="210" t="s">
        <v>2718</v>
      </c>
      <c r="D51" s="218">
        <v>346</v>
      </c>
      <c r="E51" s="227" t="s">
        <v>394</v>
      </c>
      <c r="F51" s="289"/>
      <c r="G51" s="189"/>
      <c r="H51" s="190"/>
      <c r="I51" s="214" t="s">
        <v>396</v>
      </c>
      <c r="J51" s="215" t="s">
        <v>397</v>
      </c>
      <c r="K51" s="197">
        <v>1</v>
      </c>
      <c r="L51" s="185"/>
      <c r="M51" s="186"/>
      <c r="N51" s="187"/>
      <c r="O51" s="231">
        <v>389</v>
      </c>
      <c r="P51" s="199"/>
      <c r="V51" s="184" t="s">
        <v>2526</v>
      </c>
    </row>
    <row r="52" spans="1:22" ht="16.5" customHeight="1" x14ac:dyDescent="0.2">
      <c r="A52" s="193">
        <v>16</v>
      </c>
      <c r="B52" s="184">
        <v>7777</v>
      </c>
      <c r="C52" s="210" t="s">
        <v>2719</v>
      </c>
      <c r="D52" s="264" t="s">
        <v>1953</v>
      </c>
      <c r="E52" s="290"/>
      <c r="F52" s="202"/>
      <c r="G52" s="200"/>
      <c r="H52" s="201"/>
      <c r="I52" s="229"/>
      <c r="J52" s="196"/>
      <c r="K52" s="197"/>
      <c r="L52" s="185"/>
      <c r="M52" s="186"/>
      <c r="N52" s="187"/>
      <c r="O52" s="231">
        <v>519</v>
      </c>
      <c r="P52" s="199"/>
      <c r="V52" s="184" t="s">
        <v>2527</v>
      </c>
    </row>
    <row r="53" spans="1:22" ht="16.5" customHeight="1" x14ac:dyDescent="0.2">
      <c r="A53" s="193">
        <v>16</v>
      </c>
      <c r="B53" s="184">
        <v>7778</v>
      </c>
      <c r="C53" s="210" t="s">
        <v>2720</v>
      </c>
      <c r="D53" s="288"/>
      <c r="E53" s="287"/>
      <c r="F53" s="194"/>
      <c r="G53" s="189"/>
      <c r="H53" s="190"/>
      <c r="I53" s="214" t="s">
        <v>396</v>
      </c>
      <c r="J53" s="215" t="s">
        <v>397</v>
      </c>
      <c r="K53" s="197">
        <v>1</v>
      </c>
      <c r="L53" s="185"/>
      <c r="M53" s="186"/>
      <c r="N53" s="187"/>
      <c r="O53" s="231">
        <v>519</v>
      </c>
      <c r="P53" s="199"/>
      <c r="V53" s="184" t="s">
        <v>2528</v>
      </c>
    </row>
    <row r="54" spans="1:22" ht="16.5" customHeight="1" x14ac:dyDescent="0.2">
      <c r="A54" s="193">
        <v>16</v>
      </c>
      <c r="B54" s="184">
        <v>7779</v>
      </c>
      <c r="C54" s="210" t="s">
        <v>2721</v>
      </c>
      <c r="D54" s="288"/>
      <c r="E54" s="287"/>
      <c r="F54" s="262" t="s">
        <v>398</v>
      </c>
      <c r="G54" s="216" t="s">
        <v>397</v>
      </c>
      <c r="H54" s="201">
        <v>0.9</v>
      </c>
      <c r="I54" s="229"/>
      <c r="J54" s="196"/>
      <c r="K54" s="197"/>
      <c r="L54" s="185"/>
      <c r="M54" s="186"/>
      <c r="N54" s="187"/>
      <c r="O54" s="231">
        <v>468</v>
      </c>
      <c r="P54" s="199"/>
      <c r="V54" s="184" t="s">
        <v>2529</v>
      </c>
    </row>
    <row r="55" spans="1:22" ht="16.5" customHeight="1" x14ac:dyDescent="0.2">
      <c r="A55" s="193">
        <v>16</v>
      </c>
      <c r="B55" s="184">
        <v>7780</v>
      </c>
      <c r="C55" s="210" t="s">
        <v>2722</v>
      </c>
      <c r="D55" s="218">
        <v>415</v>
      </c>
      <c r="E55" s="227" t="s">
        <v>394</v>
      </c>
      <c r="F55" s="289"/>
      <c r="G55" s="189"/>
      <c r="H55" s="190"/>
      <c r="I55" s="214" t="s">
        <v>396</v>
      </c>
      <c r="J55" s="215" t="s">
        <v>397</v>
      </c>
      <c r="K55" s="197">
        <v>1</v>
      </c>
      <c r="L55" s="185"/>
      <c r="M55" s="186"/>
      <c r="N55" s="187"/>
      <c r="O55" s="231">
        <v>468</v>
      </c>
      <c r="P55" s="199"/>
      <c r="V55" s="184" t="s">
        <v>2530</v>
      </c>
    </row>
    <row r="56" spans="1:22" ht="16.5" customHeight="1" x14ac:dyDescent="0.2">
      <c r="A56" s="193">
        <v>16</v>
      </c>
      <c r="B56" s="184">
        <v>7781</v>
      </c>
      <c r="C56" s="210" t="s">
        <v>2723</v>
      </c>
      <c r="D56" s="264" t="s">
        <v>1954</v>
      </c>
      <c r="E56" s="290"/>
      <c r="F56" s="202"/>
      <c r="G56" s="200"/>
      <c r="H56" s="201"/>
      <c r="I56" s="229"/>
      <c r="J56" s="196"/>
      <c r="K56" s="197"/>
      <c r="L56" s="185"/>
      <c r="M56" s="186"/>
      <c r="N56" s="187"/>
      <c r="O56" s="231">
        <v>605</v>
      </c>
      <c r="P56" s="199"/>
      <c r="V56" s="184" t="s">
        <v>2531</v>
      </c>
    </row>
    <row r="57" spans="1:22" ht="16.5" customHeight="1" x14ac:dyDescent="0.2">
      <c r="A57" s="193">
        <v>16</v>
      </c>
      <c r="B57" s="184">
        <v>7782</v>
      </c>
      <c r="C57" s="210" t="s">
        <v>2724</v>
      </c>
      <c r="D57" s="288"/>
      <c r="E57" s="287"/>
      <c r="F57" s="194"/>
      <c r="G57" s="189"/>
      <c r="H57" s="190"/>
      <c r="I57" s="214" t="s">
        <v>396</v>
      </c>
      <c r="J57" s="215" t="s">
        <v>397</v>
      </c>
      <c r="K57" s="197">
        <v>1</v>
      </c>
      <c r="L57" s="185"/>
      <c r="M57" s="186"/>
      <c r="N57" s="187"/>
      <c r="O57" s="231">
        <v>605</v>
      </c>
      <c r="P57" s="199"/>
      <c r="V57" s="184" t="s">
        <v>2532</v>
      </c>
    </row>
    <row r="58" spans="1:22" ht="16.5" customHeight="1" x14ac:dyDescent="0.2">
      <c r="A58" s="193">
        <v>16</v>
      </c>
      <c r="B58" s="184">
        <v>7783</v>
      </c>
      <c r="C58" s="210" t="s">
        <v>2725</v>
      </c>
      <c r="D58" s="288"/>
      <c r="E58" s="287"/>
      <c r="F58" s="262" t="s">
        <v>398</v>
      </c>
      <c r="G58" s="216" t="s">
        <v>397</v>
      </c>
      <c r="H58" s="201">
        <v>0.9</v>
      </c>
      <c r="I58" s="229"/>
      <c r="J58" s="196"/>
      <c r="K58" s="197"/>
      <c r="L58" s="185"/>
      <c r="M58" s="186"/>
      <c r="N58" s="187"/>
      <c r="O58" s="231">
        <v>545</v>
      </c>
      <c r="P58" s="199"/>
      <c r="V58" s="184" t="s">
        <v>2533</v>
      </c>
    </row>
    <row r="59" spans="1:22" ht="16.5" customHeight="1" x14ac:dyDescent="0.2">
      <c r="A59" s="193">
        <v>16</v>
      </c>
      <c r="B59" s="184">
        <v>7784</v>
      </c>
      <c r="C59" s="210" t="s">
        <v>2726</v>
      </c>
      <c r="D59" s="218">
        <v>484</v>
      </c>
      <c r="E59" s="227" t="s">
        <v>394</v>
      </c>
      <c r="F59" s="289"/>
      <c r="G59" s="189"/>
      <c r="H59" s="190"/>
      <c r="I59" s="214" t="s">
        <v>396</v>
      </c>
      <c r="J59" s="215" t="s">
        <v>397</v>
      </c>
      <c r="K59" s="197">
        <v>1</v>
      </c>
      <c r="L59" s="185"/>
      <c r="M59" s="186"/>
      <c r="N59" s="187"/>
      <c r="O59" s="231">
        <v>545</v>
      </c>
      <c r="P59" s="199"/>
      <c r="V59" s="184" t="s">
        <v>2534</v>
      </c>
    </row>
    <row r="60" spans="1:22" ht="16.5" customHeight="1" x14ac:dyDescent="0.2">
      <c r="A60" s="193">
        <v>16</v>
      </c>
      <c r="B60" s="184">
        <v>7785</v>
      </c>
      <c r="C60" s="210" t="s">
        <v>2727</v>
      </c>
      <c r="D60" s="264" t="s">
        <v>1955</v>
      </c>
      <c r="E60" s="290"/>
      <c r="F60" s="202"/>
      <c r="G60" s="200"/>
      <c r="H60" s="201"/>
      <c r="I60" s="229"/>
      <c r="J60" s="196"/>
      <c r="K60" s="197"/>
      <c r="L60" s="185"/>
      <c r="M60" s="186"/>
      <c r="N60" s="187"/>
      <c r="O60" s="231">
        <v>691</v>
      </c>
      <c r="P60" s="199"/>
      <c r="V60" s="184" t="s">
        <v>2535</v>
      </c>
    </row>
    <row r="61" spans="1:22" ht="16.5" customHeight="1" x14ac:dyDescent="0.2">
      <c r="A61" s="193">
        <v>16</v>
      </c>
      <c r="B61" s="184">
        <v>7786</v>
      </c>
      <c r="C61" s="210" t="s">
        <v>2728</v>
      </c>
      <c r="D61" s="288"/>
      <c r="E61" s="287"/>
      <c r="F61" s="194"/>
      <c r="G61" s="189"/>
      <c r="H61" s="190"/>
      <c r="I61" s="214" t="s">
        <v>396</v>
      </c>
      <c r="J61" s="215" t="s">
        <v>397</v>
      </c>
      <c r="K61" s="197">
        <v>1</v>
      </c>
      <c r="L61" s="185"/>
      <c r="M61" s="186"/>
      <c r="N61" s="187"/>
      <c r="O61" s="231">
        <v>691</v>
      </c>
      <c r="P61" s="199"/>
      <c r="V61" s="184" t="s">
        <v>2536</v>
      </c>
    </row>
    <row r="62" spans="1:22" ht="16.5" customHeight="1" x14ac:dyDescent="0.2">
      <c r="A62" s="193">
        <v>16</v>
      </c>
      <c r="B62" s="184">
        <v>7787</v>
      </c>
      <c r="C62" s="210" t="s">
        <v>2729</v>
      </c>
      <c r="D62" s="288"/>
      <c r="E62" s="287"/>
      <c r="F62" s="262" t="s">
        <v>398</v>
      </c>
      <c r="G62" s="216" t="s">
        <v>397</v>
      </c>
      <c r="H62" s="201">
        <v>0.9</v>
      </c>
      <c r="I62" s="229"/>
      <c r="J62" s="196"/>
      <c r="K62" s="197"/>
      <c r="L62" s="185"/>
      <c r="M62" s="186"/>
      <c r="N62" s="187"/>
      <c r="O62" s="231">
        <v>623</v>
      </c>
      <c r="P62" s="199"/>
      <c r="V62" s="184" t="s">
        <v>2537</v>
      </c>
    </row>
    <row r="63" spans="1:22" ht="16.5" customHeight="1" x14ac:dyDescent="0.2">
      <c r="A63" s="193">
        <v>16</v>
      </c>
      <c r="B63" s="184">
        <v>7788</v>
      </c>
      <c r="C63" s="210" t="s">
        <v>2730</v>
      </c>
      <c r="D63" s="218">
        <v>553</v>
      </c>
      <c r="E63" s="227" t="s">
        <v>394</v>
      </c>
      <c r="F63" s="289"/>
      <c r="G63" s="189"/>
      <c r="H63" s="190"/>
      <c r="I63" s="214" t="s">
        <v>396</v>
      </c>
      <c r="J63" s="215" t="s">
        <v>397</v>
      </c>
      <c r="K63" s="197">
        <v>1</v>
      </c>
      <c r="L63" s="185"/>
      <c r="M63" s="186"/>
      <c r="N63" s="187"/>
      <c r="O63" s="231">
        <v>623</v>
      </c>
      <c r="P63" s="199"/>
      <c r="V63" s="184" t="s">
        <v>2538</v>
      </c>
    </row>
    <row r="64" spans="1:22" ht="16.5" customHeight="1" x14ac:dyDescent="0.2">
      <c r="A64" s="193">
        <v>16</v>
      </c>
      <c r="B64" s="184">
        <v>7789</v>
      </c>
      <c r="C64" s="210" t="s">
        <v>2731</v>
      </c>
      <c r="D64" s="264" t="s">
        <v>1956</v>
      </c>
      <c r="E64" s="290"/>
      <c r="F64" s="202"/>
      <c r="G64" s="200"/>
      <c r="H64" s="201"/>
      <c r="I64" s="229"/>
      <c r="J64" s="196"/>
      <c r="K64" s="197"/>
      <c r="L64" s="185"/>
      <c r="M64" s="186"/>
      <c r="N64" s="187"/>
      <c r="O64" s="231">
        <v>778</v>
      </c>
      <c r="P64" s="199"/>
      <c r="V64" s="184" t="s">
        <v>2539</v>
      </c>
    </row>
    <row r="65" spans="1:22" ht="16.5" customHeight="1" x14ac:dyDescent="0.2">
      <c r="A65" s="193">
        <v>16</v>
      </c>
      <c r="B65" s="184">
        <v>7790</v>
      </c>
      <c r="C65" s="210" t="s">
        <v>2732</v>
      </c>
      <c r="D65" s="288"/>
      <c r="E65" s="287"/>
      <c r="F65" s="194"/>
      <c r="G65" s="189"/>
      <c r="H65" s="190"/>
      <c r="I65" s="214" t="s">
        <v>396</v>
      </c>
      <c r="J65" s="215" t="s">
        <v>397</v>
      </c>
      <c r="K65" s="197">
        <v>1</v>
      </c>
      <c r="L65" s="185"/>
      <c r="M65" s="186"/>
      <c r="N65" s="187"/>
      <c r="O65" s="231">
        <v>778</v>
      </c>
      <c r="P65" s="199"/>
      <c r="V65" s="184" t="s">
        <v>2540</v>
      </c>
    </row>
    <row r="66" spans="1:22" ht="16.5" customHeight="1" x14ac:dyDescent="0.2">
      <c r="A66" s="193">
        <v>16</v>
      </c>
      <c r="B66" s="184">
        <v>7791</v>
      </c>
      <c r="C66" s="210" t="s">
        <v>2733</v>
      </c>
      <c r="D66" s="288"/>
      <c r="E66" s="287"/>
      <c r="F66" s="262" t="s">
        <v>398</v>
      </c>
      <c r="G66" s="216" t="s">
        <v>397</v>
      </c>
      <c r="H66" s="201">
        <v>0.9</v>
      </c>
      <c r="I66" s="229"/>
      <c r="J66" s="196"/>
      <c r="K66" s="197"/>
      <c r="L66" s="185"/>
      <c r="M66" s="186"/>
      <c r="N66" s="187"/>
      <c r="O66" s="231">
        <v>700</v>
      </c>
      <c r="P66" s="199"/>
      <c r="V66" s="184" t="s">
        <v>2541</v>
      </c>
    </row>
    <row r="67" spans="1:22" ht="16.5" customHeight="1" x14ac:dyDescent="0.2">
      <c r="A67" s="193">
        <v>16</v>
      </c>
      <c r="B67" s="184">
        <v>7792</v>
      </c>
      <c r="C67" s="210" t="s">
        <v>2734</v>
      </c>
      <c r="D67" s="220">
        <v>622</v>
      </c>
      <c r="E67" s="228" t="s">
        <v>394</v>
      </c>
      <c r="F67" s="289"/>
      <c r="G67" s="189"/>
      <c r="H67" s="190"/>
      <c r="I67" s="214" t="s">
        <v>396</v>
      </c>
      <c r="J67" s="215" t="s">
        <v>397</v>
      </c>
      <c r="K67" s="197">
        <v>1</v>
      </c>
      <c r="L67" s="194"/>
      <c r="M67" s="189"/>
      <c r="N67" s="190"/>
      <c r="O67" s="231">
        <v>700</v>
      </c>
      <c r="P67" s="205"/>
      <c r="V67" s="184" t="s">
        <v>2542</v>
      </c>
    </row>
    <row r="68" spans="1:22" ht="16.5" customHeight="1" x14ac:dyDescent="0.2"/>
    <row r="69" spans="1:22" ht="16.5" customHeight="1" x14ac:dyDescent="0.2"/>
  </sheetData>
  <mergeCells count="30">
    <mergeCell ref="D60:E62"/>
    <mergeCell ref="F62:F63"/>
    <mergeCell ref="D64:E66"/>
    <mergeCell ref="F66:F67"/>
    <mergeCell ref="D48:E50"/>
    <mergeCell ref="F50:F51"/>
    <mergeCell ref="D52:E54"/>
    <mergeCell ref="F54:F55"/>
    <mergeCell ref="D56:E58"/>
    <mergeCell ref="F58:F59"/>
    <mergeCell ref="D36:E38"/>
    <mergeCell ref="F38:F39"/>
    <mergeCell ref="D40:E42"/>
    <mergeCell ref="F42:F43"/>
    <mergeCell ref="D44:E46"/>
    <mergeCell ref="F46:F47"/>
    <mergeCell ref="N33:N34"/>
    <mergeCell ref="F34:F35"/>
    <mergeCell ref="D7:E9"/>
    <mergeCell ref="N8:N9"/>
    <mergeCell ref="F9:F10"/>
    <mergeCell ref="D11:E13"/>
    <mergeCell ref="F13:F14"/>
    <mergeCell ref="D15:E17"/>
    <mergeCell ref="F17:F18"/>
    <mergeCell ref="D19:E21"/>
    <mergeCell ref="F21:F22"/>
    <mergeCell ref="D23:E25"/>
    <mergeCell ref="F25:F26"/>
    <mergeCell ref="D32:E3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60"/>
  <sheetViews>
    <sheetView workbookViewId="0"/>
  </sheetViews>
  <sheetFormatPr defaultColWidth="8.90625" defaultRowHeight="14" x14ac:dyDescent="0.2"/>
  <cols>
    <col min="1" max="1" width="4.6328125" style="22" customWidth="1"/>
    <col min="2" max="2" width="7.6328125" style="22" customWidth="1"/>
    <col min="3" max="3" width="37.453125" style="23" customWidth="1"/>
    <col min="4" max="4" width="4.90625" style="23" customWidth="1"/>
    <col min="5" max="5" width="4.90625" style="25" customWidth="1"/>
    <col min="6" max="6" width="12.08984375" style="25" customWidth="1"/>
    <col min="7" max="7" width="2.453125" style="25" customWidth="1"/>
    <col min="8" max="8" width="4.453125" style="26" bestFit="1" customWidth="1"/>
    <col min="9" max="9" width="26" style="25" customWidth="1"/>
    <col min="10" max="10" width="2.453125" style="25" customWidth="1"/>
    <col min="11" max="11" width="5.453125" style="26" bestFit="1" customWidth="1"/>
    <col min="12" max="12" width="2.453125" style="25" customWidth="1"/>
    <col min="13" max="13" width="3.90625" style="25" customWidth="1"/>
    <col min="14" max="14" width="4.453125" style="26" bestFit="1" customWidth="1"/>
    <col min="15" max="15" width="7.08984375" style="28" customWidth="1"/>
    <col min="16" max="16" width="8.6328125" style="29" customWidth="1"/>
    <col min="17" max="16384" width="8.90625" style="25"/>
  </cols>
  <sheetData>
    <row r="1" spans="1:16" ht="17.149999999999999" customHeight="1" x14ac:dyDescent="0.2"/>
    <row r="2" spans="1:16" ht="17.149999999999999" customHeight="1" x14ac:dyDescent="0.2"/>
    <row r="3" spans="1:16" ht="17.149999999999999" customHeight="1" x14ac:dyDescent="0.2"/>
    <row r="4" spans="1:16" ht="17.149999999999999" customHeight="1" x14ac:dyDescent="0.2">
      <c r="B4" s="30" t="s">
        <v>1867</v>
      </c>
      <c r="D4" s="65"/>
    </row>
    <row r="5" spans="1:16" ht="16.5" customHeight="1" x14ac:dyDescent="0.2">
      <c r="A5" s="31" t="s">
        <v>386</v>
      </c>
      <c r="B5" s="32"/>
      <c r="C5" s="33" t="s">
        <v>387</v>
      </c>
      <c r="D5" s="34" t="s">
        <v>388</v>
      </c>
      <c r="E5" s="34"/>
      <c r="F5" s="34"/>
      <c r="G5" s="34"/>
      <c r="H5" s="35"/>
      <c r="I5" s="34"/>
      <c r="J5" s="34"/>
      <c r="K5" s="35"/>
      <c r="L5" s="34"/>
      <c r="M5" s="34"/>
      <c r="N5" s="35"/>
      <c r="O5" s="36" t="s">
        <v>389</v>
      </c>
      <c r="P5" s="33" t="s">
        <v>390</v>
      </c>
    </row>
    <row r="6" spans="1:16" ht="16.5" customHeight="1" x14ac:dyDescent="0.2">
      <c r="A6" s="37" t="s">
        <v>391</v>
      </c>
      <c r="B6" s="37" t="s">
        <v>392</v>
      </c>
      <c r="C6" s="38"/>
      <c r="D6" s="40"/>
      <c r="E6" s="40"/>
      <c r="F6" s="40"/>
      <c r="G6" s="40"/>
      <c r="H6" s="41"/>
      <c r="I6" s="40"/>
      <c r="J6" s="40"/>
      <c r="K6" s="41"/>
      <c r="L6" s="40"/>
      <c r="M6" s="40"/>
      <c r="N6" s="41"/>
      <c r="O6" s="42" t="s">
        <v>393</v>
      </c>
      <c r="P6" s="43" t="s">
        <v>394</v>
      </c>
    </row>
    <row r="7" spans="1:16" ht="16.5" customHeight="1" x14ac:dyDescent="0.2">
      <c r="A7" s="44">
        <v>16</v>
      </c>
      <c r="B7" s="44">
        <v>7523</v>
      </c>
      <c r="C7" s="45" t="s">
        <v>1868</v>
      </c>
      <c r="D7" s="245" t="s">
        <v>1957</v>
      </c>
      <c r="E7" s="274"/>
      <c r="F7" s="47"/>
      <c r="I7" s="54"/>
      <c r="J7" s="49"/>
      <c r="K7" s="50"/>
      <c r="L7" s="47" t="s">
        <v>402</v>
      </c>
      <c r="N7" s="133"/>
      <c r="O7" s="51">
        <f>ROUND((_11_A通院２増０．５*(1+_11・A深夜)),0)</f>
        <v>104</v>
      </c>
      <c r="P7" s="52" t="s">
        <v>395</v>
      </c>
    </row>
    <row r="8" spans="1:16" ht="16.5" customHeight="1" x14ac:dyDescent="0.2">
      <c r="A8" s="44">
        <v>16</v>
      </c>
      <c r="B8" s="53">
        <v>7524</v>
      </c>
      <c r="C8" s="69" t="s">
        <v>1869</v>
      </c>
      <c r="D8" s="273"/>
      <c r="E8" s="274"/>
      <c r="F8" s="54"/>
      <c r="G8" s="49"/>
      <c r="H8" s="50"/>
      <c r="I8" s="144" t="s">
        <v>396</v>
      </c>
      <c r="J8" s="131" t="s">
        <v>397</v>
      </c>
      <c r="K8" s="57">
        <v>1</v>
      </c>
      <c r="L8" s="139" t="s">
        <v>397</v>
      </c>
      <c r="M8" s="26">
        <v>0.5</v>
      </c>
      <c r="N8" s="246" t="s">
        <v>400</v>
      </c>
      <c r="O8" s="58">
        <f>ROUND((ROUND((_11_A通院２増０．５*_11・２人),0)*(1+_11・A深夜)),0)</f>
        <v>104</v>
      </c>
      <c r="P8" s="59"/>
    </row>
    <row r="9" spans="1:16" ht="16.5" customHeight="1" x14ac:dyDescent="0.2">
      <c r="A9" s="44">
        <v>16</v>
      </c>
      <c r="B9" s="53">
        <v>7525</v>
      </c>
      <c r="C9" s="69" t="s">
        <v>1870</v>
      </c>
      <c r="D9" s="273"/>
      <c r="E9" s="274"/>
      <c r="F9" s="241" t="s">
        <v>398</v>
      </c>
      <c r="G9" s="132" t="s">
        <v>397</v>
      </c>
      <c r="H9" s="61">
        <v>0.9</v>
      </c>
      <c r="I9" s="138"/>
      <c r="J9" s="56"/>
      <c r="K9" s="57"/>
      <c r="L9" s="47"/>
      <c r="N9" s="274"/>
      <c r="O9" s="58">
        <f>ROUND((ROUND((_11_A通院２増０．５*_11・基礎２),0)*(1+_11・A深夜)),0)</f>
        <v>93</v>
      </c>
      <c r="P9" s="59"/>
    </row>
    <row r="10" spans="1:16" ht="16.5" customHeight="1" x14ac:dyDescent="0.2">
      <c r="A10" s="44">
        <v>16</v>
      </c>
      <c r="B10" s="53">
        <v>7526</v>
      </c>
      <c r="C10" s="69" t="s">
        <v>1871</v>
      </c>
      <c r="D10" s="142">
        <f>_11_A通院２増０．５</f>
        <v>69</v>
      </c>
      <c r="E10" s="23" t="s">
        <v>394</v>
      </c>
      <c r="F10" s="276"/>
      <c r="G10" s="49"/>
      <c r="H10" s="50"/>
      <c r="I10" s="144" t="s">
        <v>396</v>
      </c>
      <c r="J10" s="131" t="s">
        <v>397</v>
      </c>
      <c r="K10" s="57">
        <v>1</v>
      </c>
      <c r="L10" s="47"/>
      <c r="N10" s="133"/>
      <c r="O10" s="58">
        <f>ROUND((ROUND((ROUND((_11_A通院２増０．５*_11・基礎２),0)*_11・２人),0)*(1+_11・A深夜)),0)</f>
        <v>93</v>
      </c>
      <c r="P10" s="59"/>
    </row>
    <row r="11" spans="1:16" ht="16.5" customHeight="1" x14ac:dyDescent="0.2">
      <c r="A11" s="44">
        <v>16</v>
      </c>
      <c r="B11" s="53">
        <v>7527</v>
      </c>
      <c r="C11" s="69" t="s">
        <v>1872</v>
      </c>
      <c r="D11" s="243" t="s">
        <v>1958</v>
      </c>
      <c r="E11" s="272"/>
      <c r="F11" s="62"/>
      <c r="G11" s="60"/>
      <c r="H11" s="61"/>
      <c r="I11" s="138"/>
      <c r="J11" s="56"/>
      <c r="K11" s="57"/>
      <c r="L11" s="47"/>
      <c r="O11" s="58">
        <f>ROUND((_11_A通院２増１．０*(1+_11・A深夜)),0)</f>
        <v>207</v>
      </c>
      <c r="P11" s="59"/>
    </row>
    <row r="12" spans="1:16" ht="16.5" customHeight="1" x14ac:dyDescent="0.2">
      <c r="A12" s="44">
        <v>16</v>
      </c>
      <c r="B12" s="53">
        <v>7528</v>
      </c>
      <c r="C12" s="69" t="s">
        <v>1873</v>
      </c>
      <c r="D12" s="273"/>
      <c r="E12" s="274"/>
      <c r="F12" s="54"/>
      <c r="G12" s="49"/>
      <c r="H12" s="50"/>
      <c r="I12" s="144" t="s">
        <v>396</v>
      </c>
      <c r="J12" s="131" t="s">
        <v>397</v>
      </c>
      <c r="K12" s="57">
        <v>1</v>
      </c>
      <c r="L12" s="47"/>
      <c r="O12" s="58">
        <f>ROUND((ROUND((_11_A通院２増１．０*_11・２人),0)*(1+_11・A深夜)),0)</f>
        <v>207</v>
      </c>
      <c r="P12" s="59"/>
    </row>
    <row r="13" spans="1:16" ht="16.5" customHeight="1" x14ac:dyDescent="0.2">
      <c r="A13" s="44">
        <v>16</v>
      </c>
      <c r="B13" s="53">
        <v>7529</v>
      </c>
      <c r="C13" s="69" t="s">
        <v>1874</v>
      </c>
      <c r="D13" s="273"/>
      <c r="E13" s="274"/>
      <c r="F13" s="241" t="s">
        <v>398</v>
      </c>
      <c r="G13" s="132" t="s">
        <v>397</v>
      </c>
      <c r="H13" s="61">
        <v>0.9</v>
      </c>
      <c r="I13" s="138"/>
      <c r="J13" s="56"/>
      <c r="K13" s="57"/>
      <c r="L13" s="47"/>
      <c r="O13" s="58">
        <f>ROUND((ROUND((_11_A通院２増１．０*_11・基礎２),0)*(1+_11・A深夜)),0)</f>
        <v>186</v>
      </c>
      <c r="P13" s="59"/>
    </row>
    <row r="14" spans="1:16" ht="16.5" customHeight="1" x14ac:dyDescent="0.2">
      <c r="A14" s="44">
        <v>16</v>
      </c>
      <c r="B14" s="53">
        <v>7530</v>
      </c>
      <c r="C14" s="69" t="s">
        <v>1875</v>
      </c>
      <c r="D14" s="142">
        <f>_11_A通院２増１．０</f>
        <v>138</v>
      </c>
      <c r="E14" s="137" t="s">
        <v>394</v>
      </c>
      <c r="F14" s="276"/>
      <c r="G14" s="49"/>
      <c r="H14" s="50"/>
      <c r="I14" s="144" t="s">
        <v>396</v>
      </c>
      <c r="J14" s="131" t="s">
        <v>397</v>
      </c>
      <c r="K14" s="57">
        <v>1</v>
      </c>
      <c r="L14" s="47"/>
      <c r="O14" s="58">
        <f>ROUND((ROUND((ROUND((_11_A通院２増１．０*_11・基礎２),0)*_11・２人),0)*(1+_11・A深夜)),0)</f>
        <v>186</v>
      </c>
      <c r="P14" s="59"/>
    </row>
    <row r="15" spans="1:16" ht="16.5" customHeight="1" x14ac:dyDescent="0.2">
      <c r="A15" s="44">
        <v>16</v>
      </c>
      <c r="B15" s="53">
        <v>7531</v>
      </c>
      <c r="C15" s="69" t="s">
        <v>1876</v>
      </c>
      <c r="D15" s="243" t="s">
        <v>1959</v>
      </c>
      <c r="E15" s="272"/>
      <c r="F15" s="62"/>
      <c r="G15" s="60"/>
      <c r="H15" s="61"/>
      <c r="I15" s="138"/>
      <c r="J15" s="56"/>
      <c r="K15" s="57"/>
      <c r="L15" s="47"/>
      <c r="O15" s="58">
        <f>ROUND((_11_A通院２増１．５*(1+_11・A深夜)),0)</f>
        <v>311</v>
      </c>
      <c r="P15" s="59"/>
    </row>
    <row r="16" spans="1:16" ht="16.5" customHeight="1" x14ac:dyDescent="0.2">
      <c r="A16" s="44">
        <v>16</v>
      </c>
      <c r="B16" s="53">
        <v>7532</v>
      </c>
      <c r="C16" s="69" t="s">
        <v>1877</v>
      </c>
      <c r="D16" s="273"/>
      <c r="E16" s="274"/>
      <c r="F16" s="54"/>
      <c r="G16" s="49"/>
      <c r="H16" s="50"/>
      <c r="I16" s="144" t="s">
        <v>396</v>
      </c>
      <c r="J16" s="131" t="s">
        <v>397</v>
      </c>
      <c r="K16" s="57">
        <v>1</v>
      </c>
      <c r="L16" s="47"/>
      <c r="O16" s="58">
        <f>ROUND((ROUND((_11_A通院２増１．５*_11・２人),0)*(1+_11・A深夜)),0)</f>
        <v>311</v>
      </c>
      <c r="P16" s="59"/>
    </row>
    <row r="17" spans="1:16" ht="16.5" customHeight="1" x14ac:dyDescent="0.2">
      <c r="A17" s="44">
        <v>16</v>
      </c>
      <c r="B17" s="53">
        <v>7533</v>
      </c>
      <c r="C17" s="69" t="s">
        <v>1878</v>
      </c>
      <c r="D17" s="273"/>
      <c r="E17" s="274"/>
      <c r="F17" s="241" t="s">
        <v>398</v>
      </c>
      <c r="G17" s="132" t="s">
        <v>397</v>
      </c>
      <c r="H17" s="61">
        <v>0.9</v>
      </c>
      <c r="I17" s="138"/>
      <c r="J17" s="56"/>
      <c r="K17" s="57"/>
      <c r="L17" s="47"/>
      <c r="O17" s="58">
        <f>ROUND((ROUND((_11_A通院２増１．５*_11・基礎２),0)*(1+_11・A深夜)),0)</f>
        <v>279</v>
      </c>
      <c r="P17" s="59"/>
    </row>
    <row r="18" spans="1:16" ht="16.5" customHeight="1" x14ac:dyDescent="0.2">
      <c r="A18" s="44">
        <v>16</v>
      </c>
      <c r="B18" s="53">
        <v>7534</v>
      </c>
      <c r="C18" s="69" t="s">
        <v>1879</v>
      </c>
      <c r="D18" s="142">
        <f>_11_A通院２増１．５</f>
        <v>207</v>
      </c>
      <c r="E18" s="137" t="s">
        <v>394</v>
      </c>
      <c r="F18" s="276"/>
      <c r="G18" s="49"/>
      <c r="H18" s="50"/>
      <c r="I18" s="144" t="s">
        <v>396</v>
      </c>
      <c r="J18" s="131" t="s">
        <v>397</v>
      </c>
      <c r="K18" s="57">
        <v>1</v>
      </c>
      <c r="L18" s="47"/>
      <c r="O18" s="58">
        <f>ROUND((ROUND((ROUND((_11_A通院２増１．５*_11・基礎２),0)*_11・２人),0)*(1+_11・A深夜)),0)</f>
        <v>279</v>
      </c>
      <c r="P18" s="59"/>
    </row>
    <row r="19" spans="1:16" ht="16.5" customHeight="1" x14ac:dyDescent="0.2">
      <c r="A19" s="44">
        <v>16</v>
      </c>
      <c r="B19" s="53">
        <v>7535</v>
      </c>
      <c r="C19" s="69" t="s">
        <v>1880</v>
      </c>
      <c r="D19" s="243" t="s">
        <v>1960</v>
      </c>
      <c r="E19" s="272"/>
      <c r="F19" s="62"/>
      <c r="G19" s="60"/>
      <c r="H19" s="61"/>
      <c r="I19" s="138"/>
      <c r="J19" s="56"/>
      <c r="K19" s="57"/>
      <c r="L19" s="47"/>
      <c r="O19" s="58">
        <f>ROUND((_11_A通院２増２．０*(1+_11・A深夜)),0)</f>
        <v>414</v>
      </c>
      <c r="P19" s="59"/>
    </row>
    <row r="20" spans="1:16" ht="16.5" customHeight="1" x14ac:dyDescent="0.2">
      <c r="A20" s="44">
        <v>16</v>
      </c>
      <c r="B20" s="53">
        <v>7536</v>
      </c>
      <c r="C20" s="69" t="s">
        <v>1881</v>
      </c>
      <c r="D20" s="273"/>
      <c r="E20" s="274"/>
      <c r="F20" s="54"/>
      <c r="G20" s="49"/>
      <c r="H20" s="50"/>
      <c r="I20" s="144" t="s">
        <v>396</v>
      </c>
      <c r="J20" s="131" t="s">
        <v>397</v>
      </c>
      <c r="K20" s="57">
        <v>1</v>
      </c>
      <c r="L20" s="47"/>
      <c r="O20" s="58">
        <f>ROUND((ROUND((_11_A通院２増２．０*_11・２人),0)*(1+_11・A深夜)),0)</f>
        <v>414</v>
      </c>
      <c r="P20" s="59"/>
    </row>
    <row r="21" spans="1:16" ht="16.5" customHeight="1" x14ac:dyDescent="0.2">
      <c r="A21" s="44">
        <v>16</v>
      </c>
      <c r="B21" s="53">
        <v>7537</v>
      </c>
      <c r="C21" s="69" t="s">
        <v>1882</v>
      </c>
      <c r="D21" s="273"/>
      <c r="E21" s="274"/>
      <c r="F21" s="241" t="s">
        <v>398</v>
      </c>
      <c r="G21" s="132" t="s">
        <v>397</v>
      </c>
      <c r="H21" s="61">
        <v>0.9</v>
      </c>
      <c r="I21" s="138"/>
      <c r="J21" s="56"/>
      <c r="K21" s="57"/>
      <c r="L21" s="47"/>
      <c r="O21" s="58">
        <f>ROUND((ROUND((_11_A通院２増２．０*_11・基礎２),0)*(1+_11・A深夜)),0)</f>
        <v>372</v>
      </c>
      <c r="P21" s="59"/>
    </row>
    <row r="22" spans="1:16" ht="16.5" customHeight="1" x14ac:dyDescent="0.2">
      <c r="A22" s="44">
        <v>16</v>
      </c>
      <c r="B22" s="53">
        <v>7538</v>
      </c>
      <c r="C22" s="69" t="s">
        <v>1883</v>
      </c>
      <c r="D22" s="142">
        <f>_11_A通院２増２．０</f>
        <v>276</v>
      </c>
      <c r="E22" s="137" t="s">
        <v>394</v>
      </c>
      <c r="F22" s="276"/>
      <c r="G22" s="49"/>
      <c r="H22" s="50"/>
      <c r="I22" s="144" t="s">
        <v>396</v>
      </c>
      <c r="J22" s="131" t="s">
        <v>397</v>
      </c>
      <c r="K22" s="57">
        <v>1</v>
      </c>
      <c r="L22" s="47"/>
      <c r="O22" s="58">
        <f>ROUND((ROUND((ROUND((_11_A通院２増２．０*_11・基礎２),0)*_11・２人),0)*(1+_11・A深夜)),0)</f>
        <v>372</v>
      </c>
      <c r="P22" s="59"/>
    </row>
    <row r="23" spans="1:16" ht="16.5" customHeight="1" x14ac:dyDescent="0.2">
      <c r="A23" s="44">
        <v>16</v>
      </c>
      <c r="B23" s="53">
        <v>7539</v>
      </c>
      <c r="C23" s="69" t="s">
        <v>1884</v>
      </c>
      <c r="D23" s="243" t="s">
        <v>1961</v>
      </c>
      <c r="E23" s="272"/>
      <c r="F23" s="62"/>
      <c r="G23" s="60"/>
      <c r="H23" s="61"/>
      <c r="I23" s="138"/>
      <c r="J23" s="56"/>
      <c r="K23" s="57"/>
      <c r="L23" s="47"/>
      <c r="O23" s="58">
        <f>ROUND((_11_A通院２増２．５*(1+_11・A深夜)),0)</f>
        <v>518</v>
      </c>
      <c r="P23" s="59"/>
    </row>
    <row r="24" spans="1:16" ht="16.5" customHeight="1" x14ac:dyDescent="0.2">
      <c r="A24" s="44">
        <v>16</v>
      </c>
      <c r="B24" s="53">
        <v>7540</v>
      </c>
      <c r="C24" s="69" t="s">
        <v>1885</v>
      </c>
      <c r="D24" s="273"/>
      <c r="E24" s="274"/>
      <c r="F24" s="54"/>
      <c r="G24" s="49"/>
      <c r="H24" s="50"/>
      <c r="I24" s="144" t="s">
        <v>396</v>
      </c>
      <c r="J24" s="131" t="s">
        <v>397</v>
      </c>
      <c r="K24" s="57">
        <v>1</v>
      </c>
      <c r="L24" s="47"/>
      <c r="O24" s="58">
        <f>ROUND((ROUND((_11_A通院２増２．５*_11・２人),0)*(1+_11・A深夜)),0)</f>
        <v>518</v>
      </c>
      <c r="P24" s="59"/>
    </row>
    <row r="25" spans="1:16" ht="16.5" customHeight="1" x14ac:dyDescent="0.2">
      <c r="A25" s="44">
        <v>16</v>
      </c>
      <c r="B25" s="53">
        <v>7541</v>
      </c>
      <c r="C25" s="69" t="s">
        <v>1886</v>
      </c>
      <c r="D25" s="273"/>
      <c r="E25" s="274"/>
      <c r="F25" s="241" t="s">
        <v>398</v>
      </c>
      <c r="G25" s="132" t="s">
        <v>397</v>
      </c>
      <c r="H25" s="61">
        <v>0.9</v>
      </c>
      <c r="I25" s="138"/>
      <c r="J25" s="56"/>
      <c r="K25" s="57"/>
      <c r="L25" s="47"/>
      <c r="O25" s="58">
        <f>ROUND((ROUND((_11_A通院２増２．５*_11・基礎２),0)*(1+_11・A深夜)),0)</f>
        <v>467</v>
      </c>
      <c r="P25" s="59"/>
    </row>
    <row r="26" spans="1:16" ht="16.5" customHeight="1" x14ac:dyDescent="0.2">
      <c r="A26" s="44">
        <v>16</v>
      </c>
      <c r="B26" s="53">
        <v>7542</v>
      </c>
      <c r="C26" s="69" t="s">
        <v>1887</v>
      </c>
      <c r="D26" s="142">
        <f>_11_A通院２増２．５</f>
        <v>345</v>
      </c>
      <c r="E26" s="137" t="s">
        <v>394</v>
      </c>
      <c r="F26" s="276"/>
      <c r="G26" s="49"/>
      <c r="H26" s="50"/>
      <c r="I26" s="144" t="s">
        <v>396</v>
      </c>
      <c r="J26" s="131" t="s">
        <v>397</v>
      </c>
      <c r="K26" s="57">
        <v>1</v>
      </c>
      <c r="L26" s="47"/>
      <c r="O26" s="58">
        <f>ROUND((ROUND((ROUND((_11_A通院２増２．５*_11・基礎２),0)*_11・２人),0)*(1+_11・A深夜)),0)</f>
        <v>467</v>
      </c>
      <c r="P26" s="59"/>
    </row>
    <row r="27" spans="1:16" ht="16.5" customHeight="1" x14ac:dyDescent="0.2">
      <c r="A27" s="44">
        <v>16</v>
      </c>
      <c r="B27" s="53">
        <v>7543</v>
      </c>
      <c r="C27" s="69" t="s">
        <v>1888</v>
      </c>
      <c r="D27" s="243" t="s">
        <v>1962</v>
      </c>
      <c r="E27" s="272"/>
      <c r="F27" s="62"/>
      <c r="G27" s="60"/>
      <c r="H27" s="61"/>
      <c r="I27" s="138"/>
      <c r="J27" s="56"/>
      <c r="K27" s="57"/>
      <c r="L27" s="47"/>
      <c r="O27" s="58">
        <f>ROUND((_11_A通院２増３．０*(1+_11・A深夜)),0)</f>
        <v>621</v>
      </c>
      <c r="P27" s="59"/>
    </row>
    <row r="28" spans="1:16" ht="16.5" customHeight="1" x14ac:dyDescent="0.2">
      <c r="A28" s="44">
        <v>16</v>
      </c>
      <c r="B28" s="53">
        <v>7544</v>
      </c>
      <c r="C28" s="69" t="s">
        <v>1889</v>
      </c>
      <c r="D28" s="273"/>
      <c r="E28" s="274"/>
      <c r="F28" s="54"/>
      <c r="G28" s="49"/>
      <c r="H28" s="50"/>
      <c r="I28" s="144" t="s">
        <v>396</v>
      </c>
      <c r="J28" s="131" t="s">
        <v>397</v>
      </c>
      <c r="K28" s="57">
        <v>1</v>
      </c>
      <c r="L28" s="47"/>
      <c r="O28" s="58">
        <f>ROUND((ROUND((_11_A通院２増３．０*_11・２人),0)*(1+_11・A深夜)),0)</f>
        <v>621</v>
      </c>
      <c r="P28" s="59"/>
    </row>
    <row r="29" spans="1:16" ht="16.5" customHeight="1" x14ac:dyDescent="0.2">
      <c r="A29" s="44">
        <v>16</v>
      </c>
      <c r="B29" s="53">
        <v>7545</v>
      </c>
      <c r="C29" s="69" t="s">
        <v>1890</v>
      </c>
      <c r="D29" s="273"/>
      <c r="E29" s="274"/>
      <c r="F29" s="241" t="s">
        <v>398</v>
      </c>
      <c r="G29" s="132" t="s">
        <v>397</v>
      </c>
      <c r="H29" s="61">
        <v>0.9</v>
      </c>
      <c r="I29" s="138"/>
      <c r="J29" s="56"/>
      <c r="K29" s="57"/>
      <c r="L29" s="47"/>
      <c r="O29" s="58">
        <f>ROUND((ROUND((_11_A通院２増３．０*_11・基礎２),0)*(1+_11・A深夜)),0)</f>
        <v>560</v>
      </c>
      <c r="P29" s="59"/>
    </row>
    <row r="30" spans="1:16" ht="16.5" customHeight="1" x14ac:dyDescent="0.2">
      <c r="A30" s="44">
        <v>16</v>
      </c>
      <c r="B30" s="53">
        <v>7546</v>
      </c>
      <c r="C30" s="69" t="s">
        <v>1891</v>
      </c>
      <c r="D30" s="142">
        <f>_11_A通院２増３．０</f>
        <v>414</v>
      </c>
      <c r="E30" s="137" t="s">
        <v>394</v>
      </c>
      <c r="F30" s="276"/>
      <c r="G30" s="49"/>
      <c r="H30" s="50"/>
      <c r="I30" s="144" t="s">
        <v>396</v>
      </c>
      <c r="J30" s="131" t="s">
        <v>397</v>
      </c>
      <c r="K30" s="57">
        <v>1</v>
      </c>
      <c r="L30" s="47"/>
      <c r="O30" s="58">
        <f>ROUND((ROUND((ROUND((_11_A通院２増３．０*_11・基礎２),0)*_11・２人),0)*(1+_11・A深夜)),0)</f>
        <v>560</v>
      </c>
      <c r="P30" s="59"/>
    </row>
    <row r="31" spans="1:16" ht="16.5" customHeight="1" x14ac:dyDescent="0.2">
      <c r="A31" s="44">
        <v>16</v>
      </c>
      <c r="B31" s="53">
        <v>7547</v>
      </c>
      <c r="C31" s="69" t="s">
        <v>1892</v>
      </c>
      <c r="D31" s="243" t="s">
        <v>1963</v>
      </c>
      <c r="E31" s="272"/>
      <c r="F31" s="62"/>
      <c r="G31" s="60"/>
      <c r="H31" s="61"/>
      <c r="I31" s="138"/>
      <c r="J31" s="56"/>
      <c r="K31" s="57"/>
      <c r="L31" s="47"/>
      <c r="O31" s="58">
        <f>ROUND((_11_A通院２増３．５*(1+_11・A深夜)),0)</f>
        <v>725</v>
      </c>
      <c r="P31" s="59"/>
    </row>
    <row r="32" spans="1:16" ht="16.5" customHeight="1" x14ac:dyDescent="0.2">
      <c r="A32" s="44">
        <v>16</v>
      </c>
      <c r="B32" s="53">
        <v>7548</v>
      </c>
      <c r="C32" s="69" t="s">
        <v>1893</v>
      </c>
      <c r="D32" s="273"/>
      <c r="E32" s="274"/>
      <c r="F32" s="54"/>
      <c r="G32" s="49"/>
      <c r="H32" s="50"/>
      <c r="I32" s="144" t="s">
        <v>396</v>
      </c>
      <c r="J32" s="131" t="s">
        <v>397</v>
      </c>
      <c r="K32" s="57">
        <v>1</v>
      </c>
      <c r="L32" s="47"/>
      <c r="O32" s="58">
        <f>ROUND((ROUND((_11_A通院２増３．５*_11・２人),0)*(1+_11・A深夜)),0)</f>
        <v>725</v>
      </c>
      <c r="P32" s="59"/>
    </row>
    <row r="33" spans="1:16" ht="16.5" customHeight="1" x14ac:dyDescent="0.2">
      <c r="A33" s="44">
        <v>16</v>
      </c>
      <c r="B33" s="53">
        <v>7549</v>
      </c>
      <c r="C33" s="69" t="s">
        <v>1894</v>
      </c>
      <c r="D33" s="273"/>
      <c r="E33" s="274"/>
      <c r="F33" s="241" t="s">
        <v>398</v>
      </c>
      <c r="G33" s="132" t="s">
        <v>397</v>
      </c>
      <c r="H33" s="61">
        <v>0.9</v>
      </c>
      <c r="I33" s="138"/>
      <c r="J33" s="56"/>
      <c r="K33" s="57"/>
      <c r="L33" s="47"/>
      <c r="O33" s="58">
        <f>ROUND((ROUND((_11_A通院２増３．５*_11・基礎２),0)*(1+_11・A深夜)),0)</f>
        <v>653</v>
      </c>
      <c r="P33" s="59"/>
    </row>
    <row r="34" spans="1:16" ht="16.5" customHeight="1" x14ac:dyDescent="0.2">
      <c r="A34" s="44">
        <v>16</v>
      </c>
      <c r="B34" s="53">
        <v>7550</v>
      </c>
      <c r="C34" s="69" t="s">
        <v>1895</v>
      </c>
      <c r="D34" s="142">
        <f>_11_A通院２増３．５</f>
        <v>483</v>
      </c>
      <c r="E34" s="137" t="s">
        <v>394</v>
      </c>
      <c r="F34" s="276"/>
      <c r="G34" s="49"/>
      <c r="H34" s="50"/>
      <c r="I34" s="144" t="s">
        <v>396</v>
      </c>
      <c r="J34" s="131" t="s">
        <v>397</v>
      </c>
      <c r="K34" s="57">
        <v>1</v>
      </c>
      <c r="L34" s="47"/>
      <c r="O34" s="58">
        <f>ROUND((ROUND((ROUND((_11_A通院２増３．５*_11・基礎２),0)*_11・２人),0)*(1+_11・A深夜)),0)</f>
        <v>653</v>
      </c>
      <c r="P34" s="59"/>
    </row>
    <row r="35" spans="1:16" ht="16.5" customHeight="1" x14ac:dyDescent="0.2">
      <c r="A35" s="44">
        <v>16</v>
      </c>
      <c r="B35" s="53">
        <v>7551</v>
      </c>
      <c r="C35" s="69" t="s">
        <v>1896</v>
      </c>
      <c r="D35" s="243" t="s">
        <v>1964</v>
      </c>
      <c r="E35" s="272"/>
      <c r="F35" s="62"/>
      <c r="G35" s="60"/>
      <c r="H35" s="61"/>
      <c r="I35" s="138"/>
      <c r="J35" s="56"/>
      <c r="K35" s="57"/>
      <c r="L35" s="47"/>
      <c r="O35" s="58">
        <f>ROUND((_11_A通院２増４．０*(1+_11・A深夜)),0)</f>
        <v>828</v>
      </c>
      <c r="P35" s="59"/>
    </row>
    <row r="36" spans="1:16" ht="16.5" customHeight="1" x14ac:dyDescent="0.2">
      <c r="A36" s="44">
        <v>16</v>
      </c>
      <c r="B36" s="53">
        <v>7552</v>
      </c>
      <c r="C36" s="69" t="s">
        <v>1897</v>
      </c>
      <c r="D36" s="273"/>
      <c r="E36" s="274"/>
      <c r="F36" s="54"/>
      <c r="G36" s="49"/>
      <c r="H36" s="50"/>
      <c r="I36" s="144" t="s">
        <v>396</v>
      </c>
      <c r="J36" s="131" t="s">
        <v>397</v>
      </c>
      <c r="K36" s="57">
        <v>1</v>
      </c>
      <c r="L36" s="47"/>
      <c r="O36" s="58">
        <f>ROUND((ROUND((_11_A通院２増４．０*_11・２人),0)*(1+_11・A深夜)),0)</f>
        <v>828</v>
      </c>
      <c r="P36" s="59"/>
    </row>
    <row r="37" spans="1:16" ht="16.5" customHeight="1" x14ac:dyDescent="0.2">
      <c r="A37" s="44">
        <v>16</v>
      </c>
      <c r="B37" s="53">
        <v>7553</v>
      </c>
      <c r="C37" s="69" t="s">
        <v>1898</v>
      </c>
      <c r="D37" s="273"/>
      <c r="E37" s="274"/>
      <c r="F37" s="241" t="s">
        <v>398</v>
      </c>
      <c r="G37" s="132" t="s">
        <v>397</v>
      </c>
      <c r="H37" s="61">
        <v>0.9</v>
      </c>
      <c r="I37" s="138"/>
      <c r="J37" s="56"/>
      <c r="K37" s="57"/>
      <c r="L37" s="47"/>
      <c r="O37" s="58">
        <f>ROUND((ROUND((_11_A通院２増４．０*_11・基礎２),0)*(1+_11・A深夜)),0)</f>
        <v>746</v>
      </c>
      <c r="P37" s="59"/>
    </row>
    <row r="38" spans="1:16" ht="16.5" customHeight="1" x14ac:dyDescent="0.2">
      <c r="A38" s="44">
        <v>16</v>
      </c>
      <c r="B38" s="53">
        <v>7554</v>
      </c>
      <c r="C38" s="69" t="s">
        <v>1899</v>
      </c>
      <c r="D38" s="142">
        <f>_11_A通院２増４．０</f>
        <v>552</v>
      </c>
      <c r="E38" s="137" t="s">
        <v>394</v>
      </c>
      <c r="F38" s="276"/>
      <c r="G38" s="49"/>
      <c r="H38" s="50"/>
      <c r="I38" s="144" t="s">
        <v>396</v>
      </c>
      <c r="J38" s="131" t="s">
        <v>397</v>
      </c>
      <c r="K38" s="57">
        <v>1</v>
      </c>
      <c r="L38" s="47"/>
      <c r="O38" s="58">
        <f>ROUND((ROUND((ROUND((_11_A通院２増４．０*_11・基礎２),0)*_11・２人),0)*(1+_11・A深夜)),0)</f>
        <v>746</v>
      </c>
      <c r="P38" s="59"/>
    </row>
    <row r="39" spans="1:16" ht="16.5" customHeight="1" x14ac:dyDescent="0.2">
      <c r="A39" s="44">
        <v>16</v>
      </c>
      <c r="B39" s="53">
        <v>7555</v>
      </c>
      <c r="C39" s="69" t="s">
        <v>1900</v>
      </c>
      <c r="D39" s="243" t="s">
        <v>1965</v>
      </c>
      <c r="E39" s="272"/>
      <c r="F39" s="62"/>
      <c r="G39" s="60"/>
      <c r="H39" s="61"/>
      <c r="I39" s="138"/>
      <c r="J39" s="56"/>
      <c r="K39" s="57"/>
      <c r="L39" s="47"/>
      <c r="O39" s="58">
        <f>ROUND((_11_A通院２増４．５*(1+_11・A深夜)),0)</f>
        <v>932</v>
      </c>
      <c r="P39" s="59"/>
    </row>
    <row r="40" spans="1:16" ht="16.5" customHeight="1" x14ac:dyDescent="0.2">
      <c r="A40" s="44">
        <v>16</v>
      </c>
      <c r="B40" s="53">
        <v>7556</v>
      </c>
      <c r="C40" s="69" t="s">
        <v>1901</v>
      </c>
      <c r="D40" s="273"/>
      <c r="E40" s="274"/>
      <c r="F40" s="54"/>
      <c r="G40" s="49"/>
      <c r="H40" s="50"/>
      <c r="I40" s="144" t="s">
        <v>396</v>
      </c>
      <c r="J40" s="131" t="s">
        <v>397</v>
      </c>
      <c r="K40" s="57">
        <v>1</v>
      </c>
      <c r="L40" s="47"/>
      <c r="O40" s="58">
        <f>ROUND((ROUND((_11_A通院２増４．５*_11・２人),0)*(1+_11・A深夜)),0)</f>
        <v>932</v>
      </c>
      <c r="P40" s="59"/>
    </row>
    <row r="41" spans="1:16" ht="16.5" customHeight="1" x14ac:dyDescent="0.2">
      <c r="A41" s="44">
        <v>16</v>
      </c>
      <c r="B41" s="53">
        <v>7557</v>
      </c>
      <c r="C41" s="69" t="s">
        <v>1902</v>
      </c>
      <c r="D41" s="273"/>
      <c r="E41" s="274"/>
      <c r="F41" s="241" t="s">
        <v>398</v>
      </c>
      <c r="G41" s="132" t="s">
        <v>397</v>
      </c>
      <c r="H41" s="61">
        <v>0.9</v>
      </c>
      <c r="I41" s="138"/>
      <c r="J41" s="56"/>
      <c r="K41" s="57"/>
      <c r="L41" s="47"/>
      <c r="O41" s="58">
        <f>ROUND((ROUND((_11_A通院２増４．５*_11・基礎２),0)*(1+_11・A深夜)),0)</f>
        <v>839</v>
      </c>
      <c r="P41" s="59"/>
    </row>
    <row r="42" spans="1:16" ht="16.5" customHeight="1" x14ac:dyDescent="0.2">
      <c r="A42" s="44">
        <v>16</v>
      </c>
      <c r="B42" s="53">
        <v>7558</v>
      </c>
      <c r="C42" s="69" t="s">
        <v>1903</v>
      </c>
      <c r="D42" s="142">
        <f>_11_A通院２増４．５</f>
        <v>621</v>
      </c>
      <c r="E42" s="137" t="s">
        <v>394</v>
      </c>
      <c r="F42" s="276"/>
      <c r="G42" s="49"/>
      <c r="H42" s="50"/>
      <c r="I42" s="144" t="s">
        <v>396</v>
      </c>
      <c r="J42" s="131" t="s">
        <v>397</v>
      </c>
      <c r="K42" s="57">
        <v>1</v>
      </c>
      <c r="L42" s="47"/>
      <c r="O42" s="58">
        <f>ROUND((ROUND((ROUND((_11_A通院２増４．５*_11・基礎２),0)*_11・２人),0)*(1+_11・A深夜)),0)</f>
        <v>839</v>
      </c>
      <c r="P42" s="59"/>
    </row>
    <row r="43" spans="1:16" ht="16.5" customHeight="1" x14ac:dyDescent="0.2">
      <c r="A43" s="44">
        <v>16</v>
      </c>
      <c r="B43" s="44">
        <v>7559</v>
      </c>
      <c r="C43" s="45" t="s">
        <v>1904</v>
      </c>
      <c r="D43" s="245" t="s">
        <v>1966</v>
      </c>
      <c r="E43" s="274"/>
      <c r="F43" s="47"/>
      <c r="I43" s="152"/>
      <c r="J43" s="49"/>
      <c r="K43" s="50"/>
      <c r="L43" s="47"/>
      <c r="N43" s="25"/>
      <c r="O43" s="51">
        <f>ROUND((_11_A通院２増５．０*(1+_11・A深夜)),0)</f>
        <v>1035</v>
      </c>
      <c r="P43" s="52"/>
    </row>
    <row r="44" spans="1:16" ht="16.5" customHeight="1" x14ac:dyDescent="0.2">
      <c r="A44" s="44">
        <v>16</v>
      </c>
      <c r="B44" s="53">
        <v>7560</v>
      </c>
      <c r="C44" s="69" t="s">
        <v>1905</v>
      </c>
      <c r="D44" s="273"/>
      <c r="E44" s="274"/>
      <c r="F44" s="54"/>
      <c r="G44" s="49"/>
      <c r="H44" s="50"/>
      <c r="I44" s="144" t="s">
        <v>396</v>
      </c>
      <c r="J44" s="131" t="s">
        <v>397</v>
      </c>
      <c r="K44" s="57">
        <v>1</v>
      </c>
      <c r="L44" s="139"/>
      <c r="M44" s="26"/>
      <c r="N44" s="246"/>
      <c r="O44" s="58">
        <f>ROUND((ROUND((_11_A通院２増５．０*_11・２人),0)*(1+_11・A深夜)),0)</f>
        <v>1035</v>
      </c>
      <c r="P44" s="59"/>
    </row>
    <row r="45" spans="1:16" ht="16.5" customHeight="1" x14ac:dyDescent="0.2">
      <c r="A45" s="44">
        <v>16</v>
      </c>
      <c r="B45" s="53">
        <v>7561</v>
      </c>
      <c r="C45" s="69" t="s">
        <v>1906</v>
      </c>
      <c r="D45" s="273"/>
      <c r="E45" s="274"/>
      <c r="F45" s="241" t="s">
        <v>398</v>
      </c>
      <c r="G45" s="132" t="s">
        <v>397</v>
      </c>
      <c r="H45" s="61">
        <v>0.9</v>
      </c>
      <c r="I45" s="138"/>
      <c r="J45" s="56"/>
      <c r="K45" s="57"/>
      <c r="L45" s="47"/>
      <c r="N45" s="274"/>
      <c r="O45" s="58">
        <f>ROUND((ROUND((_11_A通院２増５．０*_11・基礎２),0)*(1+_11・A深夜)),0)</f>
        <v>932</v>
      </c>
      <c r="P45" s="59"/>
    </row>
    <row r="46" spans="1:16" ht="16.5" customHeight="1" x14ac:dyDescent="0.2">
      <c r="A46" s="44">
        <v>16</v>
      </c>
      <c r="B46" s="53">
        <v>7562</v>
      </c>
      <c r="C46" s="69" t="s">
        <v>1907</v>
      </c>
      <c r="D46" s="142">
        <f>_11_A通院２増５．０</f>
        <v>690</v>
      </c>
      <c r="E46" s="137" t="s">
        <v>394</v>
      </c>
      <c r="F46" s="276"/>
      <c r="G46" s="49"/>
      <c r="H46" s="50"/>
      <c r="I46" s="144" t="s">
        <v>396</v>
      </c>
      <c r="J46" s="131" t="s">
        <v>397</v>
      </c>
      <c r="K46" s="57">
        <v>1</v>
      </c>
      <c r="L46" s="47"/>
      <c r="O46" s="58">
        <f>ROUND((ROUND((ROUND((_11_A通院２増５．０*_11・基礎２),0)*_11・２人),0)*(1+_11・A深夜)),0)</f>
        <v>932</v>
      </c>
      <c r="P46" s="59"/>
    </row>
    <row r="47" spans="1:16" ht="16.5" customHeight="1" x14ac:dyDescent="0.2">
      <c r="A47" s="44">
        <v>16</v>
      </c>
      <c r="B47" s="53">
        <v>7563</v>
      </c>
      <c r="C47" s="69" t="s">
        <v>1908</v>
      </c>
      <c r="D47" s="243" t="s">
        <v>1967</v>
      </c>
      <c r="E47" s="272"/>
      <c r="F47" s="62"/>
      <c r="G47" s="60"/>
      <c r="H47" s="61"/>
      <c r="I47" s="138"/>
      <c r="J47" s="56"/>
      <c r="K47" s="57"/>
      <c r="L47" s="47"/>
      <c r="O47" s="58">
        <f>ROUND((_11_A通院２増５．５*(1+_11・A深夜)),0)</f>
        <v>1139</v>
      </c>
      <c r="P47" s="59"/>
    </row>
    <row r="48" spans="1:16" ht="16.5" customHeight="1" x14ac:dyDescent="0.2">
      <c r="A48" s="44">
        <v>16</v>
      </c>
      <c r="B48" s="53">
        <v>7564</v>
      </c>
      <c r="C48" s="69" t="s">
        <v>1909</v>
      </c>
      <c r="D48" s="273"/>
      <c r="E48" s="274"/>
      <c r="F48" s="54"/>
      <c r="G48" s="49"/>
      <c r="H48" s="50"/>
      <c r="I48" s="144" t="s">
        <v>396</v>
      </c>
      <c r="J48" s="131" t="s">
        <v>397</v>
      </c>
      <c r="K48" s="57">
        <v>1</v>
      </c>
      <c r="L48" s="47"/>
      <c r="O48" s="58">
        <f>ROUND((ROUND((_11_A通院２増５．５*_11・２人),0)*(1+_11・A深夜)),0)</f>
        <v>1139</v>
      </c>
      <c r="P48" s="59"/>
    </row>
    <row r="49" spans="1:16" ht="16.5" customHeight="1" x14ac:dyDescent="0.2">
      <c r="A49" s="44">
        <v>16</v>
      </c>
      <c r="B49" s="53">
        <v>7565</v>
      </c>
      <c r="C49" s="69" t="s">
        <v>1910</v>
      </c>
      <c r="D49" s="273"/>
      <c r="E49" s="274"/>
      <c r="F49" s="241" t="s">
        <v>398</v>
      </c>
      <c r="G49" s="132" t="s">
        <v>397</v>
      </c>
      <c r="H49" s="61">
        <v>0.9</v>
      </c>
      <c r="I49" s="138"/>
      <c r="J49" s="56"/>
      <c r="K49" s="57"/>
      <c r="L49" s="47"/>
      <c r="O49" s="58">
        <f>ROUND((ROUND((_11_A通院２増５．５*_11・基礎２),0)*(1+_11・A深夜)),0)</f>
        <v>1025</v>
      </c>
      <c r="P49" s="59"/>
    </row>
    <row r="50" spans="1:16" ht="16.5" customHeight="1" x14ac:dyDescent="0.2">
      <c r="A50" s="44">
        <v>16</v>
      </c>
      <c r="B50" s="53">
        <v>7566</v>
      </c>
      <c r="C50" s="69" t="s">
        <v>1911</v>
      </c>
      <c r="D50" s="142">
        <f>_11_A通院２増５．５</f>
        <v>759</v>
      </c>
      <c r="E50" s="137" t="s">
        <v>394</v>
      </c>
      <c r="F50" s="276"/>
      <c r="G50" s="49"/>
      <c r="H50" s="50"/>
      <c r="I50" s="144" t="s">
        <v>396</v>
      </c>
      <c r="J50" s="131" t="s">
        <v>397</v>
      </c>
      <c r="K50" s="57">
        <v>1</v>
      </c>
      <c r="L50" s="47"/>
      <c r="O50" s="58">
        <f>ROUND((ROUND((ROUND((_11_A通院２増５．５*_11・基礎２),0)*_11・２人),0)*(1+_11・A深夜)),0)</f>
        <v>1025</v>
      </c>
      <c r="P50" s="59"/>
    </row>
    <row r="51" spans="1:16" ht="16.5" customHeight="1" x14ac:dyDescent="0.2">
      <c r="A51" s="44">
        <v>16</v>
      </c>
      <c r="B51" s="53">
        <v>7567</v>
      </c>
      <c r="C51" s="69" t="s">
        <v>1912</v>
      </c>
      <c r="D51" s="243" t="s">
        <v>1968</v>
      </c>
      <c r="E51" s="272"/>
      <c r="F51" s="62"/>
      <c r="G51" s="60"/>
      <c r="H51" s="61"/>
      <c r="I51" s="138"/>
      <c r="J51" s="56"/>
      <c r="K51" s="57"/>
      <c r="L51" s="47"/>
      <c r="O51" s="58">
        <f>ROUND((_11_A通院２増６．０*(1+_11・A深夜)),0)</f>
        <v>1242</v>
      </c>
      <c r="P51" s="59"/>
    </row>
    <row r="52" spans="1:16" ht="16.5" customHeight="1" x14ac:dyDescent="0.2">
      <c r="A52" s="44">
        <v>16</v>
      </c>
      <c r="B52" s="53">
        <v>7568</v>
      </c>
      <c r="C52" s="69" t="s">
        <v>1913</v>
      </c>
      <c r="D52" s="273"/>
      <c r="E52" s="274"/>
      <c r="F52" s="54"/>
      <c r="G52" s="49"/>
      <c r="H52" s="50"/>
      <c r="I52" s="144" t="s">
        <v>396</v>
      </c>
      <c r="J52" s="131" t="s">
        <v>397</v>
      </c>
      <c r="K52" s="57">
        <v>1</v>
      </c>
      <c r="L52" s="47"/>
      <c r="O52" s="58">
        <f>ROUND((ROUND((_11_A通院２増６．０*_11・２人),0)*(1+_11・A深夜)),0)</f>
        <v>1242</v>
      </c>
      <c r="P52" s="59"/>
    </row>
    <row r="53" spans="1:16" ht="16.5" customHeight="1" x14ac:dyDescent="0.2">
      <c r="A53" s="44">
        <v>16</v>
      </c>
      <c r="B53" s="53">
        <v>7569</v>
      </c>
      <c r="C53" s="69" t="s">
        <v>1914</v>
      </c>
      <c r="D53" s="273"/>
      <c r="E53" s="274"/>
      <c r="F53" s="241" t="s">
        <v>398</v>
      </c>
      <c r="G53" s="132" t="s">
        <v>397</v>
      </c>
      <c r="H53" s="61">
        <v>0.9</v>
      </c>
      <c r="I53" s="138"/>
      <c r="J53" s="56"/>
      <c r="K53" s="57"/>
      <c r="L53" s="47"/>
      <c r="O53" s="58">
        <f>ROUND((ROUND((_11_A通院２増６．０*_11・基礎２),0)*(1+_11・A深夜)),0)</f>
        <v>1118</v>
      </c>
      <c r="P53" s="59"/>
    </row>
    <row r="54" spans="1:16" ht="16.5" customHeight="1" x14ac:dyDescent="0.2">
      <c r="A54" s="44">
        <v>16</v>
      </c>
      <c r="B54" s="53">
        <v>7570</v>
      </c>
      <c r="C54" s="69" t="s">
        <v>1915</v>
      </c>
      <c r="D54" s="142">
        <f>_11_A通院２増６．０</f>
        <v>828</v>
      </c>
      <c r="E54" s="137" t="s">
        <v>394</v>
      </c>
      <c r="F54" s="276"/>
      <c r="G54" s="49"/>
      <c r="H54" s="50"/>
      <c r="I54" s="144" t="s">
        <v>396</v>
      </c>
      <c r="J54" s="131" t="s">
        <v>397</v>
      </c>
      <c r="K54" s="57">
        <v>1</v>
      </c>
      <c r="L54" s="47"/>
      <c r="O54" s="58">
        <f>ROUND((ROUND((ROUND((_11_A通院２増６．０*_11・基礎２),0)*_11・２人),0)*(1+_11・A深夜)),0)</f>
        <v>1118</v>
      </c>
      <c r="P54" s="59"/>
    </row>
    <row r="55" spans="1:16" ht="16.5" customHeight="1" x14ac:dyDescent="0.2">
      <c r="A55" s="44">
        <v>16</v>
      </c>
      <c r="B55" s="53">
        <v>7571</v>
      </c>
      <c r="C55" s="69" t="s">
        <v>1916</v>
      </c>
      <c r="D55" s="243" t="s">
        <v>1969</v>
      </c>
      <c r="E55" s="272"/>
      <c r="F55" s="62"/>
      <c r="G55" s="60"/>
      <c r="H55" s="61"/>
      <c r="I55" s="138"/>
      <c r="J55" s="56"/>
      <c r="K55" s="57"/>
      <c r="L55" s="47"/>
      <c r="M55" s="175"/>
      <c r="N55" s="176"/>
      <c r="O55" s="58">
        <f>ROUND((_11_A通院２増６．５*(1+_11・A深夜)),0)</f>
        <v>1346</v>
      </c>
      <c r="P55" s="59"/>
    </row>
    <row r="56" spans="1:16" ht="16.5" customHeight="1" x14ac:dyDescent="0.2">
      <c r="A56" s="44">
        <v>16</v>
      </c>
      <c r="B56" s="53">
        <v>7572</v>
      </c>
      <c r="C56" s="69" t="s">
        <v>1917</v>
      </c>
      <c r="D56" s="273"/>
      <c r="E56" s="274"/>
      <c r="F56" s="54"/>
      <c r="G56" s="49"/>
      <c r="H56" s="50"/>
      <c r="I56" s="144" t="s">
        <v>396</v>
      </c>
      <c r="J56" s="131" t="s">
        <v>397</v>
      </c>
      <c r="K56" s="57">
        <v>1</v>
      </c>
      <c r="L56" s="47"/>
      <c r="M56" s="175"/>
      <c r="N56" s="176"/>
      <c r="O56" s="58">
        <f>ROUND((ROUND((_11_A通院２増６．５*_11・２人),0)*(1+_11・A深夜)),0)</f>
        <v>1346</v>
      </c>
      <c r="P56" s="59"/>
    </row>
    <row r="57" spans="1:16" ht="16.5" customHeight="1" x14ac:dyDescent="0.2">
      <c r="A57" s="44">
        <v>16</v>
      </c>
      <c r="B57" s="53">
        <v>7573</v>
      </c>
      <c r="C57" s="69" t="s">
        <v>1918</v>
      </c>
      <c r="D57" s="273"/>
      <c r="E57" s="274"/>
      <c r="F57" s="241" t="s">
        <v>398</v>
      </c>
      <c r="G57" s="132" t="s">
        <v>397</v>
      </c>
      <c r="H57" s="61">
        <v>0.9</v>
      </c>
      <c r="I57" s="138"/>
      <c r="J57" s="56"/>
      <c r="K57" s="57"/>
      <c r="L57" s="47"/>
      <c r="M57" s="175"/>
      <c r="N57" s="176"/>
      <c r="O57" s="58">
        <f>ROUND((ROUND((_11_A通院２増６．５*_11・基礎２),0)*(1+_11・A深夜)),0)</f>
        <v>1211</v>
      </c>
      <c r="P57" s="59"/>
    </row>
    <row r="58" spans="1:16" ht="16.5" customHeight="1" x14ac:dyDescent="0.2">
      <c r="A58" s="44">
        <v>16</v>
      </c>
      <c r="B58" s="53">
        <v>7574</v>
      </c>
      <c r="C58" s="69" t="s">
        <v>1919</v>
      </c>
      <c r="D58" s="143">
        <f>_11_A通院２増６．５</f>
        <v>897</v>
      </c>
      <c r="E58" s="141" t="s">
        <v>394</v>
      </c>
      <c r="F58" s="276"/>
      <c r="G58" s="49"/>
      <c r="H58" s="50"/>
      <c r="I58" s="144" t="s">
        <v>396</v>
      </c>
      <c r="J58" s="131" t="s">
        <v>397</v>
      </c>
      <c r="K58" s="57">
        <v>1</v>
      </c>
      <c r="L58" s="54"/>
      <c r="M58" s="49"/>
      <c r="N58" s="50"/>
      <c r="O58" s="58">
        <f>ROUND((ROUND((ROUND((_11_A通院２増６．５*_11・基礎２),0)*_11・２人),0)*(1+_11・A深夜)),0)</f>
        <v>1211</v>
      </c>
      <c r="P58" s="111"/>
    </row>
    <row r="59" spans="1:16" ht="16.5" customHeight="1" x14ac:dyDescent="0.2"/>
    <row r="60" spans="1:16" ht="16.5" customHeight="1" x14ac:dyDescent="0.2"/>
  </sheetData>
  <mergeCells count="28">
    <mergeCell ref="D7:E9"/>
    <mergeCell ref="N8:N9"/>
    <mergeCell ref="F9:F10"/>
    <mergeCell ref="D19:E21"/>
    <mergeCell ref="F21:F22"/>
    <mergeCell ref="D15:E17"/>
    <mergeCell ref="F17:F18"/>
    <mergeCell ref="D11:E13"/>
    <mergeCell ref="F13:F14"/>
    <mergeCell ref="N44:N45"/>
    <mergeCell ref="F45:F46"/>
    <mergeCell ref="D31:E33"/>
    <mergeCell ref="F33:F34"/>
    <mergeCell ref="D23:E25"/>
    <mergeCell ref="F25:F26"/>
    <mergeCell ref="D27:E29"/>
    <mergeCell ref="F29:F30"/>
    <mergeCell ref="D55:E57"/>
    <mergeCell ref="F57:F58"/>
    <mergeCell ref="D51:E53"/>
    <mergeCell ref="F53:F54"/>
    <mergeCell ref="D35:E37"/>
    <mergeCell ref="F37:F38"/>
    <mergeCell ref="D47:E49"/>
    <mergeCell ref="F49:F50"/>
    <mergeCell ref="D39:E41"/>
    <mergeCell ref="F41:F42"/>
    <mergeCell ref="D43:E4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69"/>
  <sheetViews>
    <sheetView workbookViewId="0"/>
  </sheetViews>
  <sheetFormatPr defaultColWidth="8.90625" defaultRowHeight="14" x14ac:dyDescent="0.2"/>
  <cols>
    <col min="1" max="1" width="4.6328125" style="22" customWidth="1"/>
    <col min="2" max="2" width="7.6328125" style="22" customWidth="1"/>
    <col min="3" max="3" width="31.90625" style="23" bestFit="1" customWidth="1"/>
    <col min="4" max="4" width="6" style="23" bestFit="1" customWidth="1"/>
    <col min="5" max="5" width="5.36328125" style="90" bestFit="1" customWidth="1"/>
    <col min="6" max="6" width="11.90625" style="25" customWidth="1"/>
    <col min="7" max="7" width="3.453125" style="25" bestFit="1" customWidth="1"/>
    <col min="8" max="8" width="4.453125" style="26" bestFit="1" customWidth="1"/>
    <col min="9" max="9" width="25.36328125" style="27" bestFit="1" customWidth="1"/>
    <col min="10" max="10" width="3.453125" style="25" bestFit="1" customWidth="1"/>
    <col min="11" max="11" width="5.453125" style="26" bestFit="1" customWidth="1"/>
    <col min="12" max="12" width="3.453125" style="25" bestFit="1" customWidth="1"/>
    <col min="13" max="13" width="4.453125" style="26" bestFit="1" customWidth="1"/>
    <col min="14" max="14" width="5.36328125" style="25" bestFit="1" customWidth="1"/>
    <col min="15" max="15" width="9.90625" style="25" customWidth="1"/>
    <col min="16" max="16" width="4.453125" style="25" bestFit="1" customWidth="1"/>
    <col min="17" max="17" width="7.08984375" style="28" customWidth="1"/>
    <col min="18" max="18" width="8.6328125" style="29" customWidth="1"/>
    <col min="19" max="16384" width="8.90625" style="25"/>
  </cols>
  <sheetData>
    <row r="1" spans="1:18" ht="17.149999999999999" customHeight="1" x14ac:dyDescent="0.2"/>
    <row r="2" spans="1:18" ht="17.149999999999999" customHeight="1" x14ac:dyDescent="0.2"/>
    <row r="3" spans="1:18" ht="17.149999999999999" customHeight="1" x14ac:dyDescent="0.2"/>
    <row r="4" spans="1:18" ht="17.149999999999999" customHeight="1" x14ac:dyDescent="0.2">
      <c r="B4" s="30" t="s">
        <v>604</v>
      </c>
      <c r="D4" s="65"/>
    </row>
    <row r="5" spans="1:18" ht="16.399999999999999" customHeight="1" x14ac:dyDescent="0.2">
      <c r="A5" s="31" t="s">
        <v>386</v>
      </c>
      <c r="B5" s="32"/>
      <c r="C5" s="33" t="s">
        <v>387</v>
      </c>
      <c r="D5" s="34" t="s">
        <v>388</v>
      </c>
      <c r="E5" s="91"/>
      <c r="F5" s="34"/>
      <c r="G5" s="34"/>
      <c r="H5" s="35"/>
      <c r="I5" s="34"/>
      <c r="J5" s="34"/>
      <c r="K5" s="35"/>
      <c r="L5" s="34"/>
      <c r="M5" s="35"/>
      <c r="N5" s="34"/>
      <c r="O5" s="34"/>
      <c r="P5" s="34"/>
      <c r="Q5" s="36" t="s">
        <v>389</v>
      </c>
      <c r="R5" s="33" t="s">
        <v>390</v>
      </c>
    </row>
    <row r="6" spans="1:18" ht="16.5" customHeight="1" x14ac:dyDescent="0.2">
      <c r="A6" s="37" t="s">
        <v>391</v>
      </c>
      <c r="B6" s="37" t="s">
        <v>392</v>
      </c>
      <c r="C6" s="38"/>
      <c r="D6" s="40"/>
      <c r="E6" s="93"/>
      <c r="F6" s="40"/>
      <c r="G6" s="40"/>
      <c r="H6" s="41"/>
      <c r="I6" s="40"/>
      <c r="J6" s="40"/>
      <c r="K6" s="41"/>
      <c r="L6" s="40"/>
      <c r="M6" s="41"/>
      <c r="N6" s="40"/>
      <c r="O6" s="40"/>
      <c r="P6" s="40"/>
      <c r="Q6" s="42" t="s">
        <v>393</v>
      </c>
      <c r="R6" s="43" t="s">
        <v>394</v>
      </c>
    </row>
    <row r="7" spans="1:18" ht="16.5" customHeight="1" x14ac:dyDescent="0.2">
      <c r="A7" s="44">
        <v>16</v>
      </c>
      <c r="B7" s="44">
        <v>3195</v>
      </c>
      <c r="C7" s="45" t="s">
        <v>606</v>
      </c>
      <c r="D7" s="245" t="s">
        <v>1943</v>
      </c>
      <c r="E7" s="246"/>
      <c r="F7" s="47"/>
      <c r="I7" s="48"/>
      <c r="J7" s="49"/>
      <c r="K7" s="50"/>
      <c r="L7" s="47" t="s">
        <v>399</v>
      </c>
      <c r="N7" s="63"/>
      <c r="O7" s="47"/>
      <c r="Q7" s="51">
        <f>ROUND((_11_A通院１０．５*(1+_11・A早朝)),0)</f>
        <v>320</v>
      </c>
      <c r="R7" s="52" t="s">
        <v>395</v>
      </c>
    </row>
    <row r="8" spans="1:18" ht="16.5" customHeight="1" x14ac:dyDescent="0.2">
      <c r="A8" s="44">
        <v>16</v>
      </c>
      <c r="B8" s="53">
        <v>3196</v>
      </c>
      <c r="C8" s="69" t="s">
        <v>607</v>
      </c>
      <c r="D8" s="245"/>
      <c r="E8" s="246"/>
      <c r="F8" s="54"/>
      <c r="G8" s="49"/>
      <c r="H8" s="50"/>
      <c r="I8" s="55" t="s">
        <v>396</v>
      </c>
      <c r="J8" s="56" t="s">
        <v>397</v>
      </c>
      <c r="K8" s="57">
        <v>1</v>
      </c>
      <c r="L8" s="47" t="s">
        <v>397</v>
      </c>
      <c r="M8" s="26">
        <v>0.25</v>
      </c>
      <c r="N8" s="248" t="s">
        <v>400</v>
      </c>
      <c r="O8" s="47"/>
      <c r="Q8" s="58">
        <f>ROUND((ROUND((_11_A通院１０．５*_11・２人),0)*(1+_11・A早朝)),0)</f>
        <v>320</v>
      </c>
      <c r="R8" s="59"/>
    </row>
    <row r="9" spans="1:18" ht="16.5" customHeight="1" x14ac:dyDescent="0.2">
      <c r="A9" s="44">
        <v>16</v>
      </c>
      <c r="B9" s="53">
        <v>3197</v>
      </c>
      <c r="C9" s="69" t="s">
        <v>608</v>
      </c>
      <c r="D9" s="245"/>
      <c r="E9" s="246"/>
      <c r="F9" s="241" t="s">
        <v>398</v>
      </c>
      <c r="G9" s="60" t="s">
        <v>397</v>
      </c>
      <c r="H9" s="61">
        <v>0.7</v>
      </c>
      <c r="I9" s="55"/>
      <c r="J9" s="56"/>
      <c r="K9" s="57"/>
      <c r="L9" s="47"/>
      <c r="N9" s="248"/>
      <c r="O9" s="47"/>
      <c r="Q9" s="58">
        <f>ROUND((ROUND((_11_A通院１０．５*_11・基礎１),0)*(1+_11・A早朝)),0)</f>
        <v>224</v>
      </c>
      <c r="R9" s="59"/>
    </row>
    <row r="10" spans="1:18" ht="16.5" customHeight="1" x14ac:dyDescent="0.2">
      <c r="A10" s="44">
        <v>16</v>
      </c>
      <c r="B10" s="53">
        <v>3198</v>
      </c>
      <c r="C10" s="69" t="s">
        <v>609</v>
      </c>
      <c r="D10" s="84">
        <f>_11_A通院１０．５</f>
        <v>256</v>
      </c>
      <c r="E10" s="25" t="s">
        <v>394</v>
      </c>
      <c r="F10" s="242"/>
      <c r="G10" s="49"/>
      <c r="H10" s="50"/>
      <c r="I10" s="55" t="s">
        <v>396</v>
      </c>
      <c r="J10" s="56" t="s">
        <v>397</v>
      </c>
      <c r="K10" s="57">
        <v>1</v>
      </c>
      <c r="L10" s="47"/>
      <c r="N10" s="63"/>
      <c r="O10" s="54"/>
      <c r="P10" s="49"/>
      <c r="Q10" s="58">
        <f>ROUND((ROUND((ROUND((_11_A通院１０．５*_11・基礎１),0)*_11・２人),0)*(1+_11・A早朝)),0)</f>
        <v>224</v>
      </c>
      <c r="R10" s="59"/>
    </row>
    <row r="11" spans="1:18" ht="16.5" customHeight="1" x14ac:dyDescent="0.2">
      <c r="A11" s="44">
        <v>16</v>
      </c>
      <c r="B11" s="53">
        <v>3199</v>
      </c>
      <c r="C11" s="69" t="s">
        <v>610</v>
      </c>
      <c r="D11" s="243" t="s">
        <v>1944</v>
      </c>
      <c r="E11" s="244"/>
      <c r="F11" s="62"/>
      <c r="G11" s="60"/>
      <c r="H11" s="61"/>
      <c r="I11" s="55"/>
      <c r="J11" s="56"/>
      <c r="K11" s="57"/>
      <c r="L11" s="47"/>
      <c r="N11" s="63"/>
      <c r="O11" s="62"/>
      <c r="P11" s="60"/>
      <c r="Q11" s="58">
        <f>ROUND((_11_A通院１１．０*(1+_11・A早朝)),0)</f>
        <v>505</v>
      </c>
      <c r="R11" s="59"/>
    </row>
    <row r="12" spans="1:18" ht="16.5" customHeight="1" x14ac:dyDescent="0.2">
      <c r="A12" s="44">
        <v>16</v>
      </c>
      <c r="B12" s="53">
        <v>3200</v>
      </c>
      <c r="C12" s="69" t="s">
        <v>611</v>
      </c>
      <c r="D12" s="245"/>
      <c r="E12" s="246"/>
      <c r="F12" s="54"/>
      <c r="G12" s="49"/>
      <c r="H12" s="50"/>
      <c r="I12" s="55" t="s">
        <v>396</v>
      </c>
      <c r="J12" s="56" t="s">
        <v>397</v>
      </c>
      <c r="K12" s="57">
        <v>1</v>
      </c>
      <c r="L12" s="47"/>
      <c r="N12" s="63"/>
      <c r="O12" s="47"/>
      <c r="Q12" s="58">
        <f>ROUND((ROUND((_11_A通院１１．０*_11・２人),0)*(1+_11・A早朝)),0)</f>
        <v>505</v>
      </c>
      <c r="R12" s="59"/>
    </row>
    <row r="13" spans="1:18" ht="16.5" customHeight="1" x14ac:dyDescent="0.2">
      <c r="A13" s="44">
        <v>16</v>
      </c>
      <c r="B13" s="53">
        <v>3201</v>
      </c>
      <c r="C13" s="69" t="s">
        <v>612</v>
      </c>
      <c r="D13" s="245"/>
      <c r="E13" s="246"/>
      <c r="F13" s="241" t="s">
        <v>398</v>
      </c>
      <c r="G13" s="60" t="s">
        <v>397</v>
      </c>
      <c r="H13" s="61">
        <v>0.7</v>
      </c>
      <c r="I13" s="55"/>
      <c r="J13" s="56"/>
      <c r="K13" s="57"/>
      <c r="L13" s="47"/>
      <c r="N13" s="63"/>
      <c r="O13" s="47"/>
      <c r="Q13" s="58">
        <f>ROUND((ROUND((_11_A通院１１．０*_11・基礎１),0)*(1+_11・A早朝)),0)</f>
        <v>354</v>
      </c>
      <c r="R13" s="59"/>
    </row>
    <row r="14" spans="1:18" ht="16.5" customHeight="1" x14ac:dyDescent="0.2">
      <c r="A14" s="44">
        <v>16</v>
      </c>
      <c r="B14" s="53">
        <v>3202</v>
      </c>
      <c r="C14" s="69" t="s">
        <v>613</v>
      </c>
      <c r="D14" s="84">
        <f>_11_A通院１１．０</f>
        <v>404</v>
      </c>
      <c r="E14" s="83" t="s">
        <v>412</v>
      </c>
      <c r="F14" s="247"/>
      <c r="G14" s="49"/>
      <c r="H14" s="50"/>
      <c r="I14" s="55" t="s">
        <v>396</v>
      </c>
      <c r="J14" s="56" t="s">
        <v>397</v>
      </c>
      <c r="K14" s="57">
        <v>1</v>
      </c>
      <c r="L14" s="47"/>
      <c r="N14" s="63"/>
      <c r="O14" s="54"/>
      <c r="P14" s="49"/>
      <c r="Q14" s="58">
        <f>ROUND((ROUND((ROUND((_11_A通院１１．０*_11・基礎１),0)*_11・２人),0)*(1+_11・A早朝)),0)</f>
        <v>354</v>
      </c>
      <c r="R14" s="59"/>
    </row>
    <row r="15" spans="1:18" ht="16.5" customHeight="1" x14ac:dyDescent="0.2">
      <c r="A15" s="44">
        <v>16</v>
      </c>
      <c r="B15" s="53">
        <v>3203</v>
      </c>
      <c r="C15" s="69" t="s">
        <v>614</v>
      </c>
      <c r="D15" s="243" t="s">
        <v>1945</v>
      </c>
      <c r="E15" s="244"/>
      <c r="F15" s="62"/>
      <c r="G15" s="60"/>
      <c r="H15" s="61"/>
      <c r="I15" s="55"/>
      <c r="J15" s="56"/>
      <c r="K15" s="57"/>
      <c r="L15" s="47"/>
      <c r="N15" s="63"/>
      <c r="O15" s="62"/>
      <c r="P15" s="60"/>
      <c r="Q15" s="58">
        <f>ROUND((_11_A通院１１．５*(1+_11・A早朝)),0)</f>
        <v>734</v>
      </c>
      <c r="R15" s="59"/>
    </row>
    <row r="16" spans="1:18" ht="16.5" customHeight="1" x14ac:dyDescent="0.2">
      <c r="A16" s="44">
        <v>16</v>
      </c>
      <c r="B16" s="53">
        <v>3204</v>
      </c>
      <c r="C16" s="69" t="s">
        <v>615</v>
      </c>
      <c r="D16" s="245"/>
      <c r="E16" s="246"/>
      <c r="F16" s="54"/>
      <c r="G16" s="49"/>
      <c r="H16" s="50"/>
      <c r="I16" s="55" t="s">
        <v>396</v>
      </c>
      <c r="J16" s="56" t="s">
        <v>397</v>
      </c>
      <c r="K16" s="57">
        <v>1</v>
      </c>
      <c r="L16" s="47"/>
      <c r="N16" s="63"/>
      <c r="O16" s="47"/>
      <c r="Q16" s="58">
        <f>ROUND((ROUND((_11_A通院１１．５*_11・２人),0)*(1+_11・A早朝)),0)</f>
        <v>734</v>
      </c>
      <c r="R16" s="59"/>
    </row>
    <row r="17" spans="1:18" ht="16.5" customHeight="1" x14ac:dyDescent="0.2">
      <c r="A17" s="44">
        <v>16</v>
      </c>
      <c r="B17" s="53">
        <v>3205</v>
      </c>
      <c r="C17" s="69" t="s">
        <v>616</v>
      </c>
      <c r="D17" s="245"/>
      <c r="E17" s="246"/>
      <c r="F17" s="241" t="s">
        <v>398</v>
      </c>
      <c r="G17" s="60" t="s">
        <v>397</v>
      </c>
      <c r="H17" s="61">
        <v>0.7</v>
      </c>
      <c r="I17" s="55"/>
      <c r="J17" s="56"/>
      <c r="K17" s="57"/>
      <c r="L17" s="47"/>
      <c r="N17" s="63"/>
      <c r="O17" s="47"/>
      <c r="Q17" s="58">
        <f>ROUND((ROUND((_11_A通院１１．５*_11・基礎１),0)*(1+_11・A早朝)),0)</f>
        <v>514</v>
      </c>
      <c r="R17" s="59"/>
    </row>
    <row r="18" spans="1:18" ht="16.5" customHeight="1" x14ac:dyDescent="0.2">
      <c r="A18" s="44">
        <v>16</v>
      </c>
      <c r="B18" s="53">
        <v>3206</v>
      </c>
      <c r="C18" s="69" t="s">
        <v>617</v>
      </c>
      <c r="D18" s="84">
        <f>_11_A通院１１．５</f>
        <v>587</v>
      </c>
      <c r="E18" s="25" t="s">
        <v>394</v>
      </c>
      <c r="F18" s="242"/>
      <c r="G18" s="49"/>
      <c r="H18" s="50"/>
      <c r="I18" s="55" t="s">
        <v>396</v>
      </c>
      <c r="J18" s="56" t="s">
        <v>397</v>
      </c>
      <c r="K18" s="57">
        <v>1</v>
      </c>
      <c r="L18" s="47"/>
      <c r="N18" s="63"/>
      <c r="O18" s="54"/>
      <c r="P18" s="49"/>
      <c r="Q18" s="58">
        <f>ROUND((ROUND((ROUND((_11_A通院１１．５*_11・基礎１),0)*_11・２人),0)*(1+_11・A早朝)),0)</f>
        <v>514</v>
      </c>
      <c r="R18" s="59"/>
    </row>
    <row r="19" spans="1:18" ht="16.5" customHeight="1" x14ac:dyDescent="0.2">
      <c r="A19" s="44">
        <v>16</v>
      </c>
      <c r="B19" s="53">
        <v>3207</v>
      </c>
      <c r="C19" s="69" t="s">
        <v>618</v>
      </c>
      <c r="D19" s="243" t="s">
        <v>1946</v>
      </c>
      <c r="E19" s="244"/>
      <c r="F19" s="62"/>
      <c r="G19" s="60"/>
      <c r="H19" s="61"/>
      <c r="I19" s="55"/>
      <c r="J19" s="56"/>
      <c r="K19" s="57"/>
      <c r="L19" s="47"/>
      <c r="N19" s="63"/>
      <c r="O19" s="62"/>
      <c r="P19" s="60"/>
      <c r="Q19" s="58">
        <f>ROUND((_11_A通院１２．０*(1+_11・A早朝)),0)</f>
        <v>836</v>
      </c>
      <c r="R19" s="59"/>
    </row>
    <row r="20" spans="1:18" ht="16.5" customHeight="1" x14ac:dyDescent="0.2">
      <c r="A20" s="44">
        <v>16</v>
      </c>
      <c r="B20" s="53">
        <v>3208</v>
      </c>
      <c r="C20" s="69" t="s">
        <v>619</v>
      </c>
      <c r="D20" s="245"/>
      <c r="E20" s="246"/>
      <c r="F20" s="54"/>
      <c r="G20" s="49"/>
      <c r="H20" s="50"/>
      <c r="I20" s="55" t="s">
        <v>396</v>
      </c>
      <c r="J20" s="56" t="s">
        <v>397</v>
      </c>
      <c r="K20" s="57">
        <v>1</v>
      </c>
      <c r="L20" s="47"/>
      <c r="N20" s="107"/>
      <c r="O20" s="47"/>
      <c r="Q20" s="58">
        <f>ROUND((ROUND((_11_A通院１２．０*_11・２人),0)*(1+_11・A早朝)),0)</f>
        <v>836</v>
      </c>
      <c r="R20" s="59"/>
    </row>
    <row r="21" spans="1:18" ht="16.5" customHeight="1" x14ac:dyDescent="0.2">
      <c r="A21" s="44">
        <v>16</v>
      </c>
      <c r="B21" s="53">
        <v>3209</v>
      </c>
      <c r="C21" s="69" t="s">
        <v>620</v>
      </c>
      <c r="D21" s="245"/>
      <c r="E21" s="246"/>
      <c r="F21" s="241" t="s">
        <v>398</v>
      </c>
      <c r="G21" s="60" t="s">
        <v>397</v>
      </c>
      <c r="H21" s="61">
        <v>0.7</v>
      </c>
      <c r="I21" s="55"/>
      <c r="J21" s="56"/>
      <c r="K21" s="57"/>
      <c r="L21" s="47"/>
      <c r="N21" s="107"/>
      <c r="O21" s="47"/>
      <c r="Q21" s="58">
        <f>ROUND((ROUND((_11_A通院１２．０*_11・基礎１),0)*(1+_11・A早朝)),0)</f>
        <v>585</v>
      </c>
      <c r="R21" s="59"/>
    </row>
    <row r="22" spans="1:18" ht="16.5" customHeight="1" x14ac:dyDescent="0.2">
      <c r="A22" s="44">
        <v>16</v>
      </c>
      <c r="B22" s="53">
        <v>3210</v>
      </c>
      <c r="C22" s="69" t="s">
        <v>621</v>
      </c>
      <c r="D22" s="84">
        <f>_11_A通院１２．０</f>
        <v>669</v>
      </c>
      <c r="E22" s="25" t="s">
        <v>394</v>
      </c>
      <c r="F22" s="242"/>
      <c r="G22" s="49"/>
      <c r="H22" s="50"/>
      <c r="I22" s="55" t="s">
        <v>396</v>
      </c>
      <c r="J22" s="56" t="s">
        <v>397</v>
      </c>
      <c r="K22" s="57">
        <v>1</v>
      </c>
      <c r="L22" s="47"/>
      <c r="N22" s="63"/>
      <c r="O22" s="54"/>
      <c r="P22" s="49"/>
      <c r="Q22" s="58">
        <f>ROUND((ROUND((ROUND((_11_A通院１２．０*_11・基礎１),0)*_11・２人),0)*(1+_11・A早朝)),0)</f>
        <v>585</v>
      </c>
      <c r="R22" s="59"/>
    </row>
    <row r="23" spans="1:18" ht="16.5" customHeight="1" x14ac:dyDescent="0.2">
      <c r="A23" s="44">
        <v>16</v>
      </c>
      <c r="B23" s="53">
        <v>3211</v>
      </c>
      <c r="C23" s="69" t="s">
        <v>622</v>
      </c>
      <c r="D23" s="243" t="s">
        <v>1947</v>
      </c>
      <c r="E23" s="244"/>
      <c r="F23" s="62"/>
      <c r="G23" s="60"/>
      <c r="H23" s="61"/>
      <c r="I23" s="55"/>
      <c r="J23" s="56"/>
      <c r="K23" s="57"/>
      <c r="L23" s="47"/>
      <c r="M23" s="176"/>
      <c r="N23" s="63"/>
      <c r="O23" s="62"/>
      <c r="P23" s="60"/>
      <c r="Q23" s="58">
        <f>ROUND((_11_A通院１２．５*(1+_11・A早朝)),0)</f>
        <v>943</v>
      </c>
      <c r="R23" s="59"/>
    </row>
    <row r="24" spans="1:18" ht="16.5" customHeight="1" x14ac:dyDescent="0.2">
      <c r="A24" s="44">
        <v>16</v>
      </c>
      <c r="B24" s="53">
        <v>3212</v>
      </c>
      <c r="C24" s="69" t="s">
        <v>623</v>
      </c>
      <c r="D24" s="245"/>
      <c r="E24" s="246"/>
      <c r="F24" s="54"/>
      <c r="G24" s="49"/>
      <c r="H24" s="50"/>
      <c r="I24" s="55" t="s">
        <v>396</v>
      </c>
      <c r="J24" s="56" t="s">
        <v>397</v>
      </c>
      <c r="K24" s="57">
        <v>1</v>
      </c>
      <c r="L24" s="47"/>
      <c r="M24" s="176"/>
      <c r="N24" s="63"/>
      <c r="O24" s="47"/>
      <c r="P24" s="175"/>
      <c r="Q24" s="58">
        <f>ROUND((ROUND((_11_A通院１２．５*_11・２人),0)*(1+_11・A早朝)),0)</f>
        <v>943</v>
      </c>
      <c r="R24" s="59"/>
    </row>
    <row r="25" spans="1:18" ht="16.5" customHeight="1" x14ac:dyDescent="0.2">
      <c r="A25" s="44">
        <v>16</v>
      </c>
      <c r="B25" s="53">
        <v>3213</v>
      </c>
      <c r="C25" s="69" t="s">
        <v>624</v>
      </c>
      <c r="D25" s="245"/>
      <c r="E25" s="246"/>
      <c r="F25" s="241" t="s">
        <v>398</v>
      </c>
      <c r="G25" s="60" t="s">
        <v>397</v>
      </c>
      <c r="H25" s="61">
        <v>0.7</v>
      </c>
      <c r="I25" s="55"/>
      <c r="J25" s="56"/>
      <c r="K25" s="57"/>
      <c r="L25" s="47"/>
      <c r="M25" s="176"/>
      <c r="N25" s="63"/>
      <c r="O25" s="47"/>
      <c r="P25" s="175"/>
      <c r="Q25" s="58">
        <f>ROUND((ROUND((_11_A通院１２．５*_11・基礎１),0)*(1+_11・A早朝)),0)</f>
        <v>660</v>
      </c>
      <c r="R25" s="59"/>
    </row>
    <row r="26" spans="1:18" ht="16.5" customHeight="1" x14ac:dyDescent="0.2">
      <c r="A26" s="44">
        <v>16</v>
      </c>
      <c r="B26" s="53">
        <v>3214</v>
      </c>
      <c r="C26" s="69" t="s">
        <v>625</v>
      </c>
      <c r="D26" s="110">
        <f>_11_A通院１２．５</f>
        <v>754</v>
      </c>
      <c r="E26" s="49" t="s">
        <v>394</v>
      </c>
      <c r="F26" s="242"/>
      <c r="G26" s="49"/>
      <c r="H26" s="50"/>
      <c r="I26" s="55" t="s">
        <v>396</v>
      </c>
      <c r="J26" s="56" t="s">
        <v>397</v>
      </c>
      <c r="K26" s="57">
        <v>1</v>
      </c>
      <c r="L26" s="54"/>
      <c r="M26" s="50"/>
      <c r="N26" s="97"/>
      <c r="O26" s="54"/>
      <c r="P26" s="49"/>
      <c r="Q26" s="58">
        <f>ROUND((ROUND((ROUND((_11_A通院１２．５*_11・基礎１),0)*_11・２人),0)*(1+_11・A早朝)),0)</f>
        <v>660</v>
      </c>
      <c r="R26" s="111"/>
    </row>
    <row r="27" spans="1:18" ht="16.5" customHeight="1" x14ac:dyDescent="0.2">
      <c r="A27" s="71"/>
      <c r="B27" s="71"/>
      <c r="C27" s="72"/>
      <c r="Q27" s="74"/>
      <c r="R27" s="75"/>
    </row>
    <row r="28" spans="1:18" ht="16.5" customHeight="1" x14ac:dyDescent="0.2">
      <c r="A28" s="71"/>
      <c r="B28" s="71"/>
      <c r="C28" s="72"/>
      <c r="Q28" s="74"/>
      <c r="R28" s="75"/>
    </row>
    <row r="29" spans="1:18" ht="16.5" customHeight="1" x14ac:dyDescent="0.2">
      <c r="A29" s="71"/>
      <c r="B29" s="76" t="s">
        <v>605</v>
      </c>
      <c r="C29" s="72"/>
      <c r="D29" s="65"/>
      <c r="Q29" s="74"/>
      <c r="R29" s="75"/>
    </row>
    <row r="30" spans="1:18" ht="16.5" customHeight="1" x14ac:dyDescent="0.2">
      <c r="A30" s="77" t="s">
        <v>386</v>
      </c>
      <c r="B30" s="32"/>
      <c r="C30" s="78" t="s">
        <v>387</v>
      </c>
      <c r="D30" s="34" t="s">
        <v>388</v>
      </c>
      <c r="E30" s="91"/>
      <c r="F30" s="34"/>
      <c r="G30" s="34"/>
      <c r="H30" s="35"/>
      <c r="I30" s="34"/>
      <c r="J30" s="34"/>
      <c r="K30" s="35"/>
      <c r="L30" s="34"/>
      <c r="M30" s="35"/>
      <c r="N30" s="34"/>
      <c r="O30" s="34"/>
      <c r="P30" s="34"/>
      <c r="Q30" s="36" t="s">
        <v>389</v>
      </c>
      <c r="R30" s="33" t="s">
        <v>390</v>
      </c>
    </row>
    <row r="31" spans="1:18" ht="16.5" customHeight="1" x14ac:dyDescent="0.2">
      <c r="A31" s="37" t="s">
        <v>391</v>
      </c>
      <c r="B31" s="37" t="s">
        <v>392</v>
      </c>
      <c r="C31" s="79"/>
      <c r="D31" s="40"/>
      <c r="E31" s="93"/>
      <c r="F31" s="40"/>
      <c r="G31" s="40"/>
      <c r="H31" s="41"/>
      <c r="I31" s="40"/>
      <c r="J31" s="40"/>
      <c r="K31" s="41"/>
      <c r="L31" s="40"/>
      <c r="M31" s="41"/>
      <c r="N31" s="40"/>
      <c r="O31" s="40"/>
      <c r="P31" s="40"/>
      <c r="Q31" s="42" t="s">
        <v>393</v>
      </c>
      <c r="R31" s="43" t="s">
        <v>394</v>
      </c>
    </row>
    <row r="32" spans="1:18" ht="16.5" customHeight="1" x14ac:dyDescent="0.2">
      <c r="A32" s="44">
        <v>16</v>
      </c>
      <c r="B32" s="44">
        <v>3215</v>
      </c>
      <c r="C32" s="45" t="s">
        <v>626</v>
      </c>
      <c r="D32" s="245" t="s">
        <v>1948</v>
      </c>
      <c r="E32" s="246"/>
      <c r="F32" s="47"/>
      <c r="I32" s="48"/>
      <c r="J32" s="49"/>
      <c r="K32" s="50"/>
      <c r="L32" s="47" t="s">
        <v>401</v>
      </c>
      <c r="N32" s="63"/>
      <c r="O32" s="47"/>
      <c r="Q32" s="51">
        <f>ROUND((_11_A通院１０．５*(1+_11・A夜間)),0)</f>
        <v>320</v>
      </c>
      <c r="R32" s="52" t="s">
        <v>395</v>
      </c>
    </row>
    <row r="33" spans="1:18" ht="16.5" customHeight="1" x14ac:dyDescent="0.2">
      <c r="A33" s="44">
        <v>16</v>
      </c>
      <c r="B33" s="53">
        <v>3216</v>
      </c>
      <c r="C33" s="69" t="s">
        <v>627</v>
      </c>
      <c r="D33" s="245"/>
      <c r="E33" s="246"/>
      <c r="F33" s="54"/>
      <c r="G33" s="49"/>
      <c r="H33" s="50"/>
      <c r="I33" s="55" t="s">
        <v>396</v>
      </c>
      <c r="J33" s="56" t="s">
        <v>397</v>
      </c>
      <c r="K33" s="57">
        <v>1</v>
      </c>
      <c r="L33" s="47" t="s">
        <v>397</v>
      </c>
      <c r="M33" s="26">
        <v>0.25</v>
      </c>
      <c r="N33" s="248" t="s">
        <v>400</v>
      </c>
      <c r="O33" s="47"/>
      <c r="Q33" s="58">
        <f>ROUND((ROUND((_11_A通院１０．５*_11・２人),0)*(1+_11・A夜間)),0)</f>
        <v>320</v>
      </c>
      <c r="R33" s="59"/>
    </row>
    <row r="34" spans="1:18" ht="16.5" customHeight="1" x14ac:dyDescent="0.2">
      <c r="A34" s="44">
        <v>16</v>
      </c>
      <c r="B34" s="53">
        <v>3217</v>
      </c>
      <c r="C34" s="69" t="s">
        <v>628</v>
      </c>
      <c r="D34" s="245"/>
      <c r="E34" s="246"/>
      <c r="F34" s="241" t="s">
        <v>398</v>
      </c>
      <c r="G34" s="60" t="s">
        <v>397</v>
      </c>
      <c r="H34" s="61">
        <v>0.7</v>
      </c>
      <c r="I34" s="55"/>
      <c r="J34" s="56"/>
      <c r="K34" s="57"/>
      <c r="L34" s="47"/>
      <c r="N34" s="248"/>
      <c r="O34" s="47"/>
      <c r="Q34" s="58">
        <f>ROUND((ROUND((_11_A通院１０．５*_11・基礎１),0)*(1+_11・A夜間)),0)</f>
        <v>224</v>
      </c>
      <c r="R34" s="59"/>
    </row>
    <row r="35" spans="1:18" ht="16.5" customHeight="1" x14ac:dyDescent="0.2">
      <c r="A35" s="44">
        <v>16</v>
      </c>
      <c r="B35" s="53">
        <v>3218</v>
      </c>
      <c r="C35" s="69" t="s">
        <v>629</v>
      </c>
      <c r="D35" s="84">
        <f>_11_A通院１０．５</f>
        <v>256</v>
      </c>
      <c r="E35" s="25" t="s">
        <v>394</v>
      </c>
      <c r="F35" s="242"/>
      <c r="G35" s="49"/>
      <c r="H35" s="50"/>
      <c r="I35" s="55" t="s">
        <v>396</v>
      </c>
      <c r="J35" s="56" t="s">
        <v>397</v>
      </c>
      <c r="K35" s="57">
        <v>1</v>
      </c>
      <c r="L35" s="47"/>
      <c r="N35" s="63"/>
      <c r="O35" s="54"/>
      <c r="P35" s="49"/>
      <c r="Q35" s="58">
        <f>ROUND((ROUND((ROUND((_11_A通院１０．５*_11・基礎１),0)*_11・２人),0)*(1+_11・A夜間)),0)</f>
        <v>224</v>
      </c>
      <c r="R35" s="59"/>
    </row>
    <row r="36" spans="1:18" ht="16.5" customHeight="1" x14ac:dyDescent="0.2">
      <c r="A36" s="44">
        <v>16</v>
      </c>
      <c r="B36" s="53">
        <v>3219</v>
      </c>
      <c r="C36" s="69" t="s">
        <v>630</v>
      </c>
      <c r="D36" s="243" t="s">
        <v>1949</v>
      </c>
      <c r="E36" s="244"/>
      <c r="F36" s="62"/>
      <c r="G36" s="60"/>
      <c r="H36" s="61"/>
      <c r="I36" s="55"/>
      <c r="J36" s="56"/>
      <c r="K36" s="57"/>
      <c r="L36" s="47"/>
      <c r="N36" s="63"/>
      <c r="O36" s="62"/>
      <c r="P36" s="60"/>
      <c r="Q36" s="58">
        <f>ROUND((_11_A通院１１．０*(1+_11・A夜間)),0)</f>
        <v>505</v>
      </c>
      <c r="R36" s="59"/>
    </row>
    <row r="37" spans="1:18" ht="16.5" customHeight="1" x14ac:dyDescent="0.2">
      <c r="A37" s="44">
        <v>16</v>
      </c>
      <c r="B37" s="53">
        <v>3220</v>
      </c>
      <c r="C37" s="69" t="s">
        <v>631</v>
      </c>
      <c r="D37" s="245"/>
      <c r="E37" s="246"/>
      <c r="F37" s="54"/>
      <c r="G37" s="49"/>
      <c r="H37" s="50"/>
      <c r="I37" s="55" t="s">
        <v>396</v>
      </c>
      <c r="J37" s="56" t="s">
        <v>397</v>
      </c>
      <c r="K37" s="57">
        <v>1</v>
      </c>
      <c r="L37" s="47"/>
      <c r="N37" s="63"/>
      <c r="O37" s="47"/>
      <c r="Q37" s="58">
        <f>ROUND((ROUND((_11_A通院１１．０*_11・２人),0)*(1+_11・A夜間)),0)</f>
        <v>505</v>
      </c>
      <c r="R37" s="59"/>
    </row>
    <row r="38" spans="1:18" ht="16.5" customHeight="1" x14ac:dyDescent="0.2">
      <c r="A38" s="44">
        <v>16</v>
      </c>
      <c r="B38" s="53">
        <v>3221</v>
      </c>
      <c r="C38" s="69" t="s">
        <v>632</v>
      </c>
      <c r="D38" s="245"/>
      <c r="E38" s="246"/>
      <c r="F38" s="241" t="s">
        <v>398</v>
      </c>
      <c r="G38" s="60" t="s">
        <v>397</v>
      </c>
      <c r="H38" s="61">
        <v>0.7</v>
      </c>
      <c r="I38" s="55"/>
      <c r="J38" s="56"/>
      <c r="K38" s="57"/>
      <c r="L38" s="47"/>
      <c r="N38" s="63"/>
      <c r="O38" s="47"/>
      <c r="Q38" s="58">
        <f>ROUND((ROUND((_11_A通院１１．０*_11・基礎１),0)*(1+_11・A夜間)),0)</f>
        <v>354</v>
      </c>
      <c r="R38" s="59"/>
    </row>
    <row r="39" spans="1:18" ht="16.5" customHeight="1" x14ac:dyDescent="0.2">
      <c r="A39" s="44">
        <v>16</v>
      </c>
      <c r="B39" s="53">
        <v>3222</v>
      </c>
      <c r="C39" s="69" t="s">
        <v>633</v>
      </c>
      <c r="D39" s="84">
        <f>_11_A通院１１．０</f>
        <v>404</v>
      </c>
      <c r="E39" s="25" t="s">
        <v>394</v>
      </c>
      <c r="F39" s="242"/>
      <c r="G39" s="49"/>
      <c r="H39" s="50"/>
      <c r="I39" s="55" t="s">
        <v>396</v>
      </c>
      <c r="J39" s="56" t="s">
        <v>397</v>
      </c>
      <c r="K39" s="57">
        <v>1</v>
      </c>
      <c r="L39" s="47"/>
      <c r="N39" s="63"/>
      <c r="O39" s="54"/>
      <c r="P39" s="49"/>
      <c r="Q39" s="58">
        <f>ROUND((ROUND((ROUND((_11_A通院１１．０*_11・基礎１),0)*_11・２人),0)*(1+_11・A夜間)),0)</f>
        <v>354</v>
      </c>
      <c r="R39" s="59"/>
    </row>
    <row r="40" spans="1:18" ht="16.5" customHeight="1" x14ac:dyDescent="0.2">
      <c r="A40" s="44">
        <v>16</v>
      </c>
      <c r="B40" s="53">
        <v>3223</v>
      </c>
      <c r="C40" s="69" t="s">
        <v>634</v>
      </c>
      <c r="D40" s="243" t="s">
        <v>1950</v>
      </c>
      <c r="E40" s="244"/>
      <c r="F40" s="62"/>
      <c r="G40" s="60"/>
      <c r="H40" s="61"/>
      <c r="I40" s="55"/>
      <c r="J40" s="56"/>
      <c r="K40" s="57"/>
      <c r="L40" s="47"/>
      <c r="N40" s="63"/>
      <c r="O40" s="62"/>
      <c r="P40" s="60"/>
      <c r="Q40" s="58">
        <f>ROUND((_11_A通院１１．５*(1+_11・A夜間)),0)</f>
        <v>734</v>
      </c>
      <c r="R40" s="59"/>
    </row>
    <row r="41" spans="1:18" ht="16.5" customHeight="1" x14ac:dyDescent="0.2">
      <c r="A41" s="44">
        <v>16</v>
      </c>
      <c r="B41" s="53">
        <v>3224</v>
      </c>
      <c r="C41" s="69" t="s">
        <v>635</v>
      </c>
      <c r="D41" s="245"/>
      <c r="E41" s="246"/>
      <c r="F41" s="54"/>
      <c r="G41" s="49"/>
      <c r="H41" s="50"/>
      <c r="I41" s="55" t="s">
        <v>396</v>
      </c>
      <c r="J41" s="56" t="s">
        <v>397</v>
      </c>
      <c r="K41" s="57">
        <v>1</v>
      </c>
      <c r="L41" s="47"/>
      <c r="N41" s="63"/>
      <c r="O41" s="47"/>
      <c r="Q41" s="58">
        <f>ROUND((ROUND((_11_A通院１１．５*_11・２人),0)*(1+_11・A夜間)),0)</f>
        <v>734</v>
      </c>
      <c r="R41" s="59"/>
    </row>
    <row r="42" spans="1:18" ht="16.5" customHeight="1" x14ac:dyDescent="0.2">
      <c r="A42" s="44">
        <v>16</v>
      </c>
      <c r="B42" s="53">
        <v>3225</v>
      </c>
      <c r="C42" s="69" t="s">
        <v>636</v>
      </c>
      <c r="D42" s="245"/>
      <c r="E42" s="246"/>
      <c r="F42" s="241" t="s">
        <v>398</v>
      </c>
      <c r="G42" s="60" t="s">
        <v>397</v>
      </c>
      <c r="H42" s="61">
        <v>0.7</v>
      </c>
      <c r="I42" s="55"/>
      <c r="J42" s="56"/>
      <c r="K42" s="57"/>
      <c r="L42" s="47"/>
      <c r="N42" s="63"/>
      <c r="O42" s="47"/>
      <c r="Q42" s="58">
        <f>ROUND((ROUND((_11_A通院１１．５*_11・基礎１),0)*(1+_11・A夜間)),0)</f>
        <v>514</v>
      </c>
      <c r="R42" s="59"/>
    </row>
    <row r="43" spans="1:18" ht="16.5" customHeight="1" x14ac:dyDescent="0.2">
      <c r="A43" s="44">
        <v>16</v>
      </c>
      <c r="B43" s="53">
        <v>3226</v>
      </c>
      <c r="C43" s="69" t="s">
        <v>637</v>
      </c>
      <c r="D43" s="84">
        <f>_11_A通院１１．５</f>
        <v>587</v>
      </c>
      <c r="E43" s="25" t="s">
        <v>394</v>
      </c>
      <c r="F43" s="242"/>
      <c r="G43" s="49"/>
      <c r="H43" s="50"/>
      <c r="I43" s="55" t="s">
        <v>396</v>
      </c>
      <c r="J43" s="56" t="s">
        <v>397</v>
      </c>
      <c r="K43" s="57">
        <v>1</v>
      </c>
      <c r="L43" s="47"/>
      <c r="N43" s="63"/>
      <c r="O43" s="54"/>
      <c r="P43" s="49"/>
      <c r="Q43" s="58">
        <f>ROUND((ROUND((ROUND((_11_A通院１１．５*_11・基礎１),0)*_11・２人),0)*(1+_11・A夜間)),0)</f>
        <v>514</v>
      </c>
      <c r="R43" s="59"/>
    </row>
    <row r="44" spans="1:18" ht="16.5" customHeight="1" x14ac:dyDescent="0.2">
      <c r="A44" s="44">
        <v>16</v>
      </c>
      <c r="B44" s="53">
        <v>3227</v>
      </c>
      <c r="C44" s="69" t="s">
        <v>638</v>
      </c>
      <c r="D44" s="243" t="s">
        <v>1951</v>
      </c>
      <c r="E44" s="244"/>
      <c r="F44" s="62"/>
      <c r="G44" s="60"/>
      <c r="H44" s="61"/>
      <c r="I44" s="55"/>
      <c r="J44" s="56"/>
      <c r="K44" s="57"/>
      <c r="L44" s="47"/>
      <c r="N44" s="63"/>
      <c r="O44" s="62"/>
      <c r="P44" s="60"/>
      <c r="Q44" s="58">
        <f>ROUND((_11_A通院１２．０*(1+_11・A夜間)),0)</f>
        <v>836</v>
      </c>
      <c r="R44" s="59"/>
    </row>
    <row r="45" spans="1:18" ht="16.5" customHeight="1" x14ac:dyDescent="0.2">
      <c r="A45" s="44">
        <v>16</v>
      </c>
      <c r="B45" s="53">
        <v>3228</v>
      </c>
      <c r="C45" s="69" t="s">
        <v>639</v>
      </c>
      <c r="D45" s="245"/>
      <c r="E45" s="246"/>
      <c r="F45" s="54"/>
      <c r="G45" s="49"/>
      <c r="H45" s="50"/>
      <c r="I45" s="55" t="s">
        <v>396</v>
      </c>
      <c r="J45" s="56" t="s">
        <v>397</v>
      </c>
      <c r="K45" s="57">
        <v>1</v>
      </c>
      <c r="L45" s="47"/>
      <c r="N45" s="63"/>
      <c r="O45" s="47"/>
      <c r="Q45" s="58">
        <f>ROUND((ROUND((_11_A通院１２．０*_11・２人),0)*(1+_11・A夜間)),0)</f>
        <v>836</v>
      </c>
      <c r="R45" s="59"/>
    </row>
    <row r="46" spans="1:18" ht="16.5" customHeight="1" x14ac:dyDescent="0.2">
      <c r="A46" s="44">
        <v>16</v>
      </c>
      <c r="B46" s="53">
        <v>3229</v>
      </c>
      <c r="C46" s="69" t="s">
        <v>640</v>
      </c>
      <c r="D46" s="245"/>
      <c r="E46" s="246"/>
      <c r="F46" s="241" t="s">
        <v>398</v>
      </c>
      <c r="G46" s="60" t="s">
        <v>397</v>
      </c>
      <c r="H46" s="61">
        <v>0.7</v>
      </c>
      <c r="I46" s="55"/>
      <c r="J46" s="56"/>
      <c r="K46" s="57"/>
      <c r="L46" s="47"/>
      <c r="N46" s="63"/>
      <c r="O46" s="47"/>
      <c r="Q46" s="58">
        <f>ROUND((ROUND((_11_A通院１２．０*_11・基礎１),0)*(1+_11・A夜間)),0)</f>
        <v>585</v>
      </c>
      <c r="R46" s="59"/>
    </row>
    <row r="47" spans="1:18" ht="16.5" customHeight="1" x14ac:dyDescent="0.2">
      <c r="A47" s="44">
        <v>16</v>
      </c>
      <c r="B47" s="53">
        <v>3230</v>
      </c>
      <c r="C47" s="69" t="s">
        <v>641</v>
      </c>
      <c r="D47" s="84">
        <f>_11_A通院１２．０</f>
        <v>669</v>
      </c>
      <c r="E47" s="25" t="s">
        <v>394</v>
      </c>
      <c r="F47" s="242"/>
      <c r="G47" s="49"/>
      <c r="H47" s="50"/>
      <c r="I47" s="55" t="s">
        <v>396</v>
      </c>
      <c r="J47" s="56" t="s">
        <v>397</v>
      </c>
      <c r="K47" s="57">
        <v>1</v>
      </c>
      <c r="L47" s="47"/>
      <c r="N47" s="63"/>
      <c r="O47" s="54"/>
      <c r="P47" s="49"/>
      <c r="Q47" s="58">
        <f>ROUND((ROUND((ROUND((_11_A通院１２．０*_11・基礎１),0)*_11・２人),0)*(1+_11・A夜間)),0)</f>
        <v>585</v>
      </c>
      <c r="R47" s="59"/>
    </row>
    <row r="48" spans="1:18" ht="16.5" customHeight="1" x14ac:dyDescent="0.2">
      <c r="A48" s="44">
        <v>16</v>
      </c>
      <c r="B48" s="44">
        <v>3231</v>
      </c>
      <c r="C48" s="45" t="s">
        <v>642</v>
      </c>
      <c r="D48" s="245" t="s">
        <v>1952</v>
      </c>
      <c r="E48" s="246"/>
      <c r="F48" s="47"/>
      <c r="I48" s="48"/>
      <c r="J48" s="49"/>
      <c r="K48" s="50"/>
      <c r="L48" s="47"/>
      <c r="N48" s="63"/>
      <c r="O48" s="47"/>
      <c r="Q48" s="51">
        <f>ROUND((_11_A通院１２．５*(1+_11・A夜間)),0)</f>
        <v>943</v>
      </c>
      <c r="R48" s="59"/>
    </row>
    <row r="49" spans="1:18" ht="16.5" customHeight="1" x14ac:dyDescent="0.2">
      <c r="A49" s="44">
        <v>16</v>
      </c>
      <c r="B49" s="53">
        <v>3232</v>
      </c>
      <c r="C49" s="69" t="s">
        <v>643</v>
      </c>
      <c r="D49" s="245"/>
      <c r="E49" s="246"/>
      <c r="F49" s="54"/>
      <c r="G49" s="49"/>
      <c r="H49" s="50"/>
      <c r="I49" s="55" t="s">
        <v>396</v>
      </c>
      <c r="J49" s="56" t="s">
        <v>397</v>
      </c>
      <c r="K49" s="57">
        <v>1</v>
      </c>
      <c r="L49" s="47"/>
      <c r="N49" s="63"/>
      <c r="O49" s="47"/>
      <c r="Q49" s="58">
        <f>ROUND((ROUND((_11_A通院１２．５*_11・２人),0)*(1+_11・A夜間)),0)</f>
        <v>943</v>
      </c>
      <c r="R49" s="59"/>
    </row>
    <row r="50" spans="1:18" ht="16.5" customHeight="1" x14ac:dyDescent="0.2">
      <c r="A50" s="44">
        <v>16</v>
      </c>
      <c r="B50" s="53">
        <v>3233</v>
      </c>
      <c r="C50" s="69" t="s">
        <v>644</v>
      </c>
      <c r="D50" s="245"/>
      <c r="E50" s="246"/>
      <c r="F50" s="241" t="s">
        <v>398</v>
      </c>
      <c r="G50" s="60" t="s">
        <v>397</v>
      </c>
      <c r="H50" s="61">
        <v>0.7</v>
      </c>
      <c r="I50" s="55"/>
      <c r="J50" s="56"/>
      <c r="K50" s="57"/>
      <c r="L50" s="47"/>
      <c r="N50" s="63"/>
      <c r="O50" s="47"/>
      <c r="Q50" s="58">
        <f>ROUND((ROUND((_11_A通院１２．５*_11・基礎１),0)*(1+_11・A夜間)),0)</f>
        <v>660</v>
      </c>
      <c r="R50" s="59"/>
    </row>
    <row r="51" spans="1:18" ht="16.5" customHeight="1" x14ac:dyDescent="0.2">
      <c r="A51" s="44">
        <v>16</v>
      </c>
      <c r="B51" s="53">
        <v>3234</v>
      </c>
      <c r="C51" s="69" t="s">
        <v>645</v>
      </c>
      <c r="D51" s="84">
        <f>_11_A通院１２．５</f>
        <v>754</v>
      </c>
      <c r="E51" s="25" t="s">
        <v>394</v>
      </c>
      <c r="F51" s="242"/>
      <c r="G51" s="49"/>
      <c r="H51" s="50"/>
      <c r="I51" s="55" t="s">
        <v>396</v>
      </c>
      <c r="J51" s="56" t="s">
        <v>397</v>
      </c>
      <c r="K51" s="57">
        <v>1</v>
      </c>
      <c r="L51" s="47"/>
      <c r="N51" s="63"/>
      <c r="O51" s="54"/>
      <c r="P51" s="49"/>
      <c r="Q51" s="58">
        <f>ROUND((ROUND((ROUND((_11_A通院１２．５*_11・基礎１),0)*_11・２人),0)*(1+_11・A夜間)),0)</f>
        <v>660</v>
      </c>
      <c r="R51" s="59"/>
    </row>
    <row r="52" spans="1:18" ht="16.5" customHeight="1" x14ac:dyDescent="0.2">
      <c r="A52" s="44">
        <v>16</v>
      </c>
      <c r="B52" s="53">
        <v>3235</v>
      </c>
      <c r="C52" s="69" t="s">
        <v>646</v>
      </c>
      <c r="D52" s="243" t="s">
        <v>1953</v>
      </c>
      <c r="E52" s="244"/>
      <c r="F52" s="62"/>
      <c r="G52" s="60"/>
      <c r="H52" s="61"/>
      <c r="I52" s="55"/>
      <c r="J52" s="56"/>
      <c r="K52" s="57"/>
      <c r="L52" s="47"/>
      <c r="N52" s="63"/>
      <c r="O52" s="62"/>
      <c r="P52" s="60"/>
      <c r="Q52" s="58">
        <f>ROUND((_11_A通院１３．０*(1+_11・A夜間)),0)</f>
        <v>1046</v>
      </c>
      <c r="R52" s="59"/>
    </row>
    <row r="53" spans="1:18" ht="16.5" customHeight="1" x14ac:dyDescent="0.2">
      <c r="A53" s="44">
        <v>16</v>
      </c>
      <c r="B53" s="53">
        <v>3236</v>
      </c>
      <c r="C53" s="69" t="s">
        <v>647</v>
      </c>
      <c r="D53" s="245"/>
      <c r="E53" s="246"/>
      <c r="F53" s="54"/>
      <c r="G53" s="49"/>
      <c r="H53" s="50"/>
      <c r="I53" s="55" t="s">
        <v>396</v>
      </c>
      <c r="J53" s="56" t="s">
        <v>397</v>
      </c>
      <c r="K53" s="57">
        <v>1</v>
      </c>
      <c r="L53" s="47"/>
      <c r="N53" s="63"/>
      <c r="O53" s="47"/>
      <c r="Q53" s="58">
        <f>ROUND((ROUND((_11_A通院１３．０*_11・２人),0)*(1+_11・A夜間)),0)</f>
        <v>1046</v>
      </c>
      <c r="R53" s="59"/>
    </row>
    <row r="54" spans="1:18" ht="16.5" customHeight="1" x14ac:dyDescent="0.2">
      <c r="A54" s="44">
        <v>16</v>
      </c>
      <c r="B54" s="53">
        <v>3237</v>
      </c>
      <c r="C54" s="69" t="s">
        <v>648</v>
      </c>
      <c r="D54" s="245"/>
      <c r="E54" s="246"/>
      <c r="F54" s="241" t="s">
        <v>398</v>
      </c>
      <c r="G54" s="60" t="s">
        <v>397</v>
      </c>
      <c r="H54" s="61">
        <v>0.7</v>
      </c>
      <c r="I54" s="55"/>
      <c r="J54" s="56"/>
      <c r="K54" s="57"/>
      <c r="L54" s="47"/>
      <c r="N54" s="63"/>
      <c r="O54" s="47"/>
      <c r="Q54" s="58">
        <f>ROUND((ROUND((_11_A通院１３．０*_11・基礎１),0)*(1+_11・A夜間)),0)</f>
        <v>733</v>
      </c>
      <c r="R54" s="59"/>
    </row>
    <row r="55" spans="1:18" ht="16.5" customHeight="1" x14ac:dyDescent="0.2">
      <c r="A55" s="44">
        <v>16</v>
      </c>
      <c r="B55" s="53">
        <v>3238</v>
      </c>
      <c r="C55" s="69" t="s">
        <v>649</v>
      </c>
      <c r="D55" s="84">
        <f>_11_A通院１３．０</f>
        <v>837</v>
      </c>
      <c r="E55" s="25" t="s">
        <v>394</v>
      </c>
      <c r="F55" s="242"/>
      <c r="G55" s="49"/>
      <c r="H55" s="50"/>
      <c r="I55" s="55" t="s">
        <v>396</v>
      </c>
      <c r="J55" s="56" t="s">
        <v>397</v>
      </c>
      <c r="K55" s="57">
        <v>1</v>
      </c>
      <c r="L55" s="47"/>
      <c r="N55" s="63"/>
      <c r="O55" s="54"/>
      <c r="P55" s="49"/>
      <c r="Q55" s="58">
        <f>ROUND((ROUND((ROUND((_11_A通院１３．０*_11・基礎１),0)*_11・２人),0)*(1+_11・A夜間)),0)</f>
        <v>733</v>
      </c>
      <c r="R55" s="59"/>
    </row>
    <row r="56" spans="1:18" ht="16.5" customHeight="1" x14ac:dyDescent="0.2">
      <c r="A56" s="44">
        <v>16</v>
      </c>
      <c r="B56" s="53">
        <v>3239</v>
      </c>
      <c r="C56" s="69" t="s">
        <v>650</v>
      </c>
      <c r="D56" s="243" t="s">
        <v>1954</v>
      </c>
      <c r="E56" s="244"/>
      <c r="F56" s="62"/>
      <c r="G56" s="60"/>
      <c r="H56" s="61"/>
      <c r="I56" s="55"/>
      <c r="J56" s="56"/>
      <c r="K56" s="57"/>
      <c r="L56" s="47"/>
      <c r="N56" s="63"/>
      <c r="O56" s="62"/>
      <c r="P56" s="60"/>
      <c r="Q56" s="58">
        <f>ROUND((_11_A通院１３．５*(1+_11・A夜間)),0)</f>
        <v>1151</v>
      </c>
      <c r="R56" s="59"/>
    </row>
    <row r="57" spans="1:18" ht="16.5" customHeight="1" x14ac:dyDescent="0.2">
      <c r="A57" s="44">
        <v>16</v>
      </c>
      <c r="B57" s="53">
        <v>3240</v>
      </c>
      <c r="C57" s="69" t="s">
        <v>651</v>
      </c>
      <c r="D57" s="245"/>
      <c r="E57" s="246"/>
      <c r="F57" s="54"/>
      <c r="G57" s="49"/>
      <c r="H57" s="50"/>
      <c r="I57" s="55" t="s">
        <v>396</v>
      </c>
      <c r="J57" s="56" t="s">
        <v>397</v>
      </c>
      <c r="K57" s="57">
        <v>1</v>
      </c>
      <c r="L57" s="47"/>
      <c r="N57" s="63"/>
      <c r="O57" s="47"/>
      <c r="Q57" s="58">
        <f>ROUND((ROUND((_11_A通院１３．５*_11・２人),0)*(1+_11・A夜間)),0)</f>
        <v>1151</v>
      </c>
      <c r="R57" s="59"/>
    </row>
    <row r="58" spans="1:18" ht="16.5" customHeight="1" x14ac:dyDescent="0.2">
      <c r="A58" s="44">
        <v>16</v>
      </c>
      <c r="B58" s="53">
        <v>3241</v>
      </c>
      <c r="C58" s="69" t="s">
        <v>652</v>
      </c>
      <c r="D58" s="245"/>
      <c r="E58" s="246"/>
      <c r="F58" s="241" t="s">
        <v>398</v>
      </c>
      <c r="G58" s="60" t="s">
        <v>397</v>
      </c>
      <c r="H58" s="61">
        <v>0.7</v>
      </c>
      <c r="I58" s="55"/>
      <c r="J58" s="56"/>
      <c r="K58" s="57"/>
      <c r="L58" s="47"/>
      <c r="N58" s="63"/>
      <c r="O58" s="47"/>
      <c r="Q58" s="58">
        <f>ROUND((ROUND((_11_A通院１３．５*_11・基礎１),0)*(1+_11・A夜間)),0)</f>
        <v>806</v>
      </c>
      <c r="R58" s="59"/>
    </row>
    <row r="59" spans="1:18" ht="16.5" customHeight="1" x14ac:dyDescent="0.2">
      <c r="A59" s="44">
        <v>16</v>
      </c>
      <c r="B59" s="53">
        <v>3242</v>
      </c>
      <c r="C59" s="69" t="s">
        <v>653</v>
      </c>
      <c r="D59" s="84">
        <f>_11_A通院１３．５</f>
        <v>921</v>
      </c>
      <c r="E59" s="25" t="s">
        <v>394</v>
      </c>
      <c r="F59" s="242"/>
      <c r="G59" s="49"/>
      <c r="H59" s="50"/>
      <c r="I59" s="55" t="s">
        <v>396</v>
      </c>
      <c r="J59" s="56" t="s">
        <v>397</v>
      </c>
      <c r="K59" s="57">
        <v>1</v>
      </c>
      <c r="L59" s="47"/>
      <c r="N59" s="63"/>
      <c r="O59" s="54"/>
      <c r="P59" s="49"/>
      <c r="Q59" s="58">
        <f>ROUND((ROUND((ROUND((_11_A通院１３．５*_11・基礎１),0)*_11・２人),0)*(1+_11・A夜間)),0)</f>
        <v>806</v>
      </c>
      <c r="R59" s="59"/>
    </row>
    <row r="60" spans="1:18" ht="16.5" customHeight="1" x14ac:dyDescent="0.2">
      <c r="A60" s="44">
        <v>16</v>
      </c>
      <c r="B60" s="53">
        <v>3243</v>
      </c>
      <c r="C60" s="69" t="s">
        <v>654</v>
      </c>
      <c r="D60" s="243" t="s">
        <v>1955</v>
      </c>
      <c r="E60" s="244"/>
      <c r="F60" s="62"/>
      <c r="G60" s="60"/>
      <c r="H60" s="61"/>
      <c r="I60" s="55"/>
      <c r="J60" s="56"/>
      <c r="K60" s="57"/>
      <c r="L60" s="47"/>
      <c r="N60" s="63"/>
      <c r="O60" s="62"/>
      <c r="P60" s="60"/>
      <c r="Q60" s="58">
        <f>ROUND((_11_A通院１４．０*(1+_11・A夜間)),0)</f>
        <v>1255</v>
      </c>
      <c r="R60" s="59"/>
    </row>
    <row r="61" spans="1:18" ht="16.5" customHeight="1" x14ac:dyDescent="0.2">
      <c r="A61" s="44">
        <v>16</v>
      </c>
      <c r="B61" s="53">
        <v>3244</v>
      </c>
      <c r="C61" s="69" t="s">
        <v>655</v>
      </c>
      <c r="D61" s="245"/>
      <c r="E61" s="246"/>
      <c r="F61" s="54"/>
      <c r="G61" s="49"/>
      <c r="H61" s="50"/>
      <c r="I61" s="55" t="s">
        <v>396</v>
      </c>
      <c r="J61" s="56" t="s">
        <v>397</v>
      </c>
      <c r="K61" s="57">
        <v>1</v>
      </c>
      <c r="L61" s="47"/>
      <c r="N61" s="63"/>
      <c r="O61" s="47"/>
      <c r="Q61" s="58">
        <f>ROUND((ROUND((_11_A通院１４．０*_11・２人),0)*(1+_11・A夜間)),0)</f>
        <v>1255</v>
      </c>
      <c r="R61" s="59"/>
    </row>
    <row r="62" spans="1:18" ht="16.5" customHeight="1" x14ac:dyDescent="0.2">
      <c r="A62" s="44">
        <v>16</v>
      </c>
      <c r="B62" s="53">
        <v>3245</v>
      </c>
      <c r="C62" s="69" t="s">
        <v>656</v>
      </c>
      <c r="D62" s="245"/>
      <c r="E62" s="246"/>
      <c r="F62" s="241" t="s">
        <v>398</v>
      </c>
      <c r="G62" s="60" t="s">
        <v>397</v>
      </c>
      <c r="H62" s="61">
        <v>0.7</v>
      </c>
      <c r="I62" s="55"/>
      <c r="J62" s="56"/>
      <c r="K62" s="57"/>
      <c r="L62" s="47"/>
      <c r="N62" s="63"/>
      <c r="O62" s="47"/>
      <c r="Q62" s="58">
        <f>ROUND((ROUND((_11_A通院１４．０*_11・基礎１),0)*(1+_11・A夜間)),0)</f>
        <v>879</v>
      </c>
      <c r="R62" s="59"/>
    </row>
    <row r="63" spans="1:18" ht="16.5" customHeight="1" x14ac:dyDescent="0.2">
      <c r="A63" s="44">
        <v>16</v>
      </c>
      <c r="B63" s="53">
        <v>3246</v>
      </c>
      <c r="C63" s="69" t="s">
        <v>657</v>
      </c>
      <c r="D63" s="84">
        <f>_11_A通院１４．０</f>
        <v>1004</v>
      </c>
      <c r="E63" s="25" t="s">
        <v>394</v>
      </c>
      <c r="F63" s="242"/>
      <c r="G63" s="49"/>
      <c r="H63" s="50"/>
      <c r="I63" s="55" t="s">
        <v>396</v>
      </c>
      <c r="J63" s="56" t="s">
        <v>397</v>
      </c>
      <c r="K63" s="57">
        <v>1</v>
      </c>
      <c r="L63" s="47"/>
      <c r="N63" s="63"/>
      <c r="O63" s="54"/>
      <c r="P63" s="49"/>
      <c r="Q63" s="58">
        <f>ROUND((ROUND((ROUND((_11_A通院１４．０*_11・基礎１),0)*_11・２人),0)*(1+_11・A夜間)),0)</f>
        <v>879</v>
      </c>
      <c r="R63" s="59"/>
    </row>
    <row r="64" spans="1:18" ht="16.5" customHeight="1" x14ac:dyDescent="0.2">
      <c r="A64" s="44">
        <v>16</v>
      </c>
      <c r="B64" s="53">
        <v>3247</v>
      </c>
      <c r="C64" s="69" t="s">
        <v>658</v>
      </c>
      <c r="D64" s="243" t="s">
        <v>1956</v>
      </c>
      <c r="E64" s="244"/>
      <c r="F64" s="62"/>
      <c r="G64" s="60"/>
      <c r="H64" s="61"/>
      <c r="I64" s="55"/>
      <c r="J64" s="56"/>
      <c r="K64" s="57"/>
      <c r="L64" s="47"/>
      <c r="N64" s="63"/>
      <c r="O64" s="62"/>
      <c r="P64" s="60"/>
      <c r="Q64" s="58">
        <f>ROUND((_11_A通院１４．５*(1+_11・A夜間)),0)</f>
        <v>1359</v>
      </c>
      <c r="R64" s="59"/>
    </row>
    <row r="65" spans="1:18" ht="16.5" customHeight="1" x14ac:dyDescent="0.2">
      <c r="A65" s="44">
        <v>16</v>
      </c>
      <c r="B65" s="53">
        <v>3248</v>
      </c>
      <c r="C65" s="69" t="s">
        <v>659</v>
      </c>
      <c r="D65" s="245"/>
      <c r="E65" s="246"/>
      <c r="F65" s="54"/>
      <c r="G65" s="49"/>
      <c r="H65" s="50"/>
      <c r="I65" s="55" t="s">
        <v>396</v>
      </c>
      <c r="J65" s="56" t="s">
        <v>397</v>
      </c>
      <c r="K65" s="57">
        <v>1</v>
      </c>
      <c r="L65" s="47"/>
      <c r="N65" s="63"/>
      <c r="O65" s="47"/>
      <c r="Q65" s="58">
        <f>ROUND((ROUND((_11_A通院１４．５*_11・２人),0)*(1+_11・A夜間)),0)</f>
        <v>1359</v>
      </c>
      <c r="R65" s="59"/>
    </row>
    <row r="66" spans="1:18" ht="16.5" customHeight="1" x14ac:dyDescent="0.2">
      <c r="A66" s="44">
        <v>16</v>
      </c>
      <c r="B66" s="53">
        <v>3249</v>
      </c>
      <c r="C66" s="69" t="s">
        <v>660</v>
      </c>
      <c r="D66" s="245"/>
      <c r="E66" s="246"/>
      <c r="F66" s="241" t="s">
        <v>398</v>
      </c>
      <c r="G66" s="60" t="s">
        <v>397</v>
      </c>
      <c r="H66" s="61">
        <v>0.7</v>
      </c>
      <c r="I66" s="55"/>
      <c r="J66" s="56"/>
      <c r="K66" s="57"/>
      <c r="L66" s="47"/>
      <c r="N66" s="63"/>
      <c r="O66" s="47"/>
      <c r="Q66" s="58">
        <f>ROUND((ROUND((_11_A通院１４．５*_11・基礎１),0)*(1+_11・A夜間)),0)</f>
        <v>951</v>
      </c>
      <c r="R66" s="59"/>
    </row>
    <row r="67" spans="1:18" ht="16.5" customHeight="1" x14ac:dyDescent="0.2">
      <c r="A67" s="44">
        <v>16</v>
      </c>
      <c r="B67" s="53">
        <v>3250</v>
      </c>
      <c r="C67" s="69" t="s">
        <v>661</v>
      </c>
      <c r="D67" s="110">
        <f>_11_A通院１４．５</f>
        <v>1087</v>
      </c>
      <c r="E67" s="97" t="s">
        <v>394</v>
      </c>
      <c r="F67" s="242"/>
      <c r="G67" s="49"/>
      <c r="H67" s="50"/>
      <c r="I67" s="55" t="s">
        <v>396</v>
      </c>
      <c r="J67" s="56" t="s">
        <v>397</v>
      </c>
      <c r="K67" s="57">
        <v>1</v>
      </c>
      <c r="L67" s="54"/>
      <c r="M67" s="50"/>
      <c r="N67" s="97"/>
      <c r="O67" s="54"/>
      <c r="P67" s="49"/>
      <c r="Q67" s="58">
        <f>ROUND((ROUND((ROUND((_11_A通院１４．５*_11・基礎１),0)*_11・２人),0)*(1+_11・A夜間)),0)</f>
        <v>951</v>
      </c>
      <c r="R67" s="111"/>
    </row>
    <row r="68" spans="1:18" ht="16.5" customHeight="1" x14ac:dyDescent="0.2"/>
    <row r="69" spans="1:18" ht="16.5" customHeight="1" x14ac:dyDescent="0.2"/>
  </sheetData>
  <mergeCells count="30">
    <mergeCell ref="D7:E9"/>
    <mergeCell ref="N8:N9"/>
    <mergeCell ref="F9:F10"/>
    <mergeCell ref="N33:N34"/>
    <mergeCell ref="F34:F35"/>
    <mergeCell ref="D15:E17"/>
    <mergeCell ref="F17:F18"/>
    <mergeCell ref="D11:E13"/>
    <mergeCell ref="F13:F14"/>
    <mergeCell ref="D36:E38"/>
    <mergeCell ref="F38:F39"/>
    <mergeCell ref="D40:E42"/>
    <mergeCell ref="F42:F43"/>
    <mergeCell ref="D19:E21"/>
    <mergeCell ref="F21:F22"/>
    <mergeCell ref="D23:E25"/>
    <mergeCell ref="F25:F26"/>
    <mergeCell ref="D32:E34"/>
    <mergeCell ref="D48:E50"/>
    <mergeCell ref="F50:F51"/>
    <mergeCell ref="D52:E54"/>
    <mergeCell ref="F54:F55"/>
    <mergeCell ref="D44:E46"/>
    <mergeCell ref="F46:F47"/>
    <mergeCell ref="D60:E62"/>
    <mergeCell ref="F62:F63"/>
    <mergeCell ref="D64:E66"/>
    <mergeCell ref="F66:F67"/>
    <mergeCell ref="D56:E58"/>
    <mergeCell ref="F58:F5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7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W60"/>
  <sheetViews>
    <sheetView workbookViewId="0">
      <selection activeCell="A2" sqref="A2"/>
    </sheetView>
  </sheetViews>
  <sheetFormatPr defaultColWidth="8.90625" defaultRowHeight="14" x14ac:dyDescent="0.2"/>
  <cols>
    <col min="1" max="1" width="4.6328125" style="22" customWidth="1"/>
    <col min="2" max="2" width="7.6328125" style="22" customWidth="1"/>
    <col min="3" max="3" width="37.453125" style="23" customWidth="1"/>
    <col min="4" max="4" width="4.90625" style="23" customWidth="1"/>
    <col min="5" max="5" width="4.90625" style="25" customWidth="1"/>
    <col min="6" max="6" width="12.08984375" style="25" customWidth="1"/>
    <col min="7" max="7" width="2.453125" style="25" customWidth="1"/>
    <col min="8" max="8" width="4.453125" style="26" bestFit="1" customWidth="1"/>
    <col min="9" max="9" width="26" style="25" customWidth="1"/>
    <col min="10" max="10" width="2.453125" style="25" customWidth="1"/>
    <col min="11" max="11" width="5.453125" style="26" bestFit="1" customWidth="1"/>
    <col min="12" max="12" width="2.453125" style="25" customWidth="1"/>
    <col min="13" max="13" width="3.90625" style="25" customWidth="1"/>
    <col min="14" max="14" width="4.453125" style="26" bestFit="1" customWidth="1"/>
    <col min="15" max="15" width="7.08984375" style="28" customWidth="1"/>
    <col min="16" max="16" width="8.6328125" style="29" customWidth="1"/>
    <col min="17" max="21" width="8.90625" style="25"/>
    <col min="22" max="22" width="7.6328125" style="22" customWidth="1"/>
    <col min="23" max="16384" width="8.90625" style="25"/>
  </cols>
  <sheetData>
    <row r="1" spans="1:23" ht="17.149999999999999" customHeight="1" x14ac:dyDescent="0.2"/>
    <row r="2" spans="1:23" ht="17.149999999999999" customHeight="1" x14ac:dyDescent="0.2">
      <c r="A2" s="236" t="s">
        <v>2795</v>
      </c>
    </row>
    <row r="3" spans="1:23" ht="17.149999999999999" customHeight="1" x14ac:dyDescent="0.2"/>
    <row r="4" spans="1:23" ht="17.149999999999999" customHeight="1" x14ac:dyDescent="0.2">
      <c r="B4" s="30" t="s">
        <v>2789</v>
      </c>
      <c r="D4" s="65"/>
      <c r="V4" s="30" t="s">
        <v>2789</v>
      </c>
    </row>
    <row r="5" spans="1:23" ht="16.5" customHeight="1" x14ac:dyDescent="0.2">
      <c r="A5" s="31" t="s">
        <v>386</v>
      </c>
      <c r="B5" s="32"/>
      <c r="C5" s="33" t="s">
        <v>387</v>
      </c>
      <c r="D5" s="34" t="s">
        <v>388</v>
      </c>
      <c r="E5" s="34"/>
      <c r="F5" s="34"/>
      <c r="G5" s="34"/>
      <c r="H5" s="35"/>
      <c r="I5" s="34"/>
      <c r="J5" s="34"/>
      <c r="K5" s="35"/>
      <c r="L5" s="34"/>
      <c r="M5" s="34"/>
      <c r="N5" s="35"/>
      <c r="O5" s="36" t="s">
        <v>389</v>
      </c>
      <c r="P5" s="33" t="s">
        <v>390</v>
      </c>
      <c r="V5" s="32"/>
    </row>
    <row r="6" spans="1:23" ht="16.5" customHeight="1" x14ac:dyDescent="0.2">
      <c r="A6" s="37" t="s">
        <v>391</v>
      </c>
      <c r="B6" s="37" t="s">
        <v>392</v>
      </c>
      <c r="C6" s="38"/>
      <c r="D6" s="40"/>
      <c r="E6" s="40"/>
      <c r="F6" s="40"/>
      <c r="G6" s="40"/>
      <c r="H6" s="41"/>
      <c r="I6" s="40"/>
      <c r="J6" s="40"/>
      <c r="K6" s="41"/>
      <c r="L6" s="40"/>
      <c r="M6" s="40"/>
      <c r="N6" s="41"/>
      <c r="O6" s="42" t="s">
        <v>393</v>
      </c>
      <c r="P6" s="43" t="s">
        <v>394</v>
      </c>
      <c r="V6" s="37" t="s">
        <v>392</v>
      </c>
    </row>
    <row r="7" spans="1:23" ht="16.5" customHeight="1" x14ac:dyDescent="0.2">
      <c r="A7" s="184">
        <v>16</v>
      </c>
      <c r="B7" s="184">
        <v>7793</v>
      </c>
      <c r="C7" s="207" t="s">
        <v>2735</v>
      </c>
      <c r="D7" s="259" t="s">
        <v>1957</v>
      </c>
      <c r="E7" s="287"/>
      <c r="F7" s="185"/>
      <c r="G7" s="186"/>
      <c r="H7" s="187"/>
      <c r="I7" s="194"/>
      <c r="J7" s="189"/>
      <c r="K7" s="190"/>
      <c r="L7" s="185" t="s">
        <v>402</v>
      </c>
      <c r="M7" s="186"/>
      <c r="N7" s="222"/>
      <c r="O7" s="191">
        <v>105</v>
      </c>
      <c r="P7" s="192" t="s">
        <v>395</v>
      </c>
      <c r="V7" s="184" t="s">
        <v>2543</v>
      </c>
      <c r="W7" s="25" t="s">
        <v>2792</v>
      </c>
    </row>
    <row r="8" spans="1:23" ht="16.5" customHeight="1" x14ac:dyDescent="0.2">
      <c r="A8" s="193">
        <v>16</v>
      </c>
      <c r="B8" s="184">
        <v>7794</v>
      </c>
      <c r="C8" s="210" t="s">
        <v>2736</v>
      </c>
      <c r="D8" s="288"/>
      <c r="E8" s="287"/>
      <c r="F8" s="194"/>
      <c r="G8" s="189"/>
      <c r="H8" s="190"/>
      <c r="I8" s="214" t="s">
        <v>396</v>
      </c>
      <c r="J8" s="215" t="s">
        <v>397</v>
      </c>
      <c r="K8" s="197">
        <v>1</v>
      </c>
      <c r="L8" s="224" t="s">
        <v>397</v>
      </c>
      <c r="M8" s="187">
        <v>0.5</v>
      </c>
      <c r="N8" s="291" t="s">
        <v>400</v>
      </c>
      <c r="O8" s="198">
        <v>105</v>
      </c>
      <c r="P8" s="199"/>
      <c r="V8" s="184" t="s">
        <v>2544</v>
      </c>
      <c r="W8" s="25" t="s">
        <v>2793</v>
      </c>
    </row>
    <row r="9" spans="1:23" ht="16.5" customHeight="1" x14ac:dyDescent="0.2">
      <c r="A9" s="193">
        <v>16</v>
      </c>
      <c r="B9" s="184">
        <v>7795</v>
      </c>
      <c r="C9" s="210" t="s">
        <v>2737</v>
      </c>
      <c r="D9" s="288"/>
      <c r="E9" s="287"/>
      <c r="F9" s="262" t="s">
        <v>398</v>
      </c>
      <c r="G9" s="216" t="s">
        <v>397</v>
      </c>
      <c r="H9" s="201">
        <v>0.9</v>
      </c>
      <c r="I9" s="226"/>
      <c r="J9" s="196"/>
      <c r="K9" s="197"/>
      <c r="L9" s="185"/>
      <c r="M9" s="186"/>
      <c r="N9" s="287"/>
      <c r="O9" s="198">
        <v>95</v>
      </c>
      <c r="P9" s="199"/>
      <c r="V9" s="184" t="s">
        <v>2545</v>
      </c>
    </row>
    <row r="10" spans="1:23" ht="16.5" customHeight="1" x14ac:dyDescent="0.2">
      <c r="A10" s="193">
        <v>16</v>
      </c>
      <c r="B10" s="184">
        <v>7796</v>
      </c>
      <c r="C10" s="210" t="s">
        <v>2738</v>
      </c>
      <c r="D10" s="218">
        <v>70</v>
      </c>
      <c r="E10" s="219" t="s">
        <v>394</v>
      </c>
      <c r="F10" s="292"/>
      <c r="G10" s="189"/>
      <c r="H10" s="190"/>
      <c r="I10" s="214" t="s">
        <v>396</v>
      </c>
      <c r="J10" s="215" t="s">
        <v>397</v>
      </c>
      <c r="K10" s="197">
        <v>1</v>
      </c>
      <c r="L10" s="185"/>
      <c r="M10" s="186"/>
      <c r="N10" s="222"/>
      <c r="O10" s="198">
        <v>95</v>
      </c>
      <c r="P10" s="199"/>
      <c r="V10" s="184" t="s">
        <v>2546</v>
      </c>
    </row>
    <row r="11" spans="1:23" ht="16.5" customHeight="1" x14ac:dyDescent="0.2">
      <c r="A11" s="193">
        <v>16</v>
      </c>
      <c r="B11" s="184">
        <v>7797</v>
      </c>
      <c r="C11" s="210" t="s">
        <v>2739</v>
      </c>
      <c r="D11" s="264" t="s">
        <v>1958</v>
      </c>
      <c r="E11" s="290"/>
      <c r="F11" s="202"/>
      <c r="G11" s="200"/>
      <c r="H11" s="201"/>
      <c r="I11" s="226"/>
      <c r="J11" s="196"/>
      <c r="K11" s="197"/>
      <c r="L11" s="185"/>
      <c r="M11" s="186"/>
      <c r="N11" s="187"/>
      <c r="O11" s="198">
        <v>209</v>
      </c>
      <c r="P11" s="199"/>
      <c r="V11" s="184" t="s">
        <v>2547</v>
      </c>
    </row>
    <row r="12" spans="1:23" ht="16.5" customHeight="1" x14ac:dyDescent="0.2">
      <c r="A12" s="193">
        <v>16</v>
      </c>
      <c r="B12" s="184">
        <v>7798</v>
      </c>
      <c r="C12" s="210" t="s">
        <v>2740</v>
      </c>
      <c r="D12" s="288"/>
      <c r="E12" s="287"/>
      <c r="F12" s="194"/>
      <c r="G12" s="189"/>
      <c r="H12" s="190"/>
      <c r="I12" s="214" t="s">
        <v>396</v>
      </c>
      <c r="J12" s="215" t="s">
        <v>397</v>
      </c>
      <c r="K12" s="197">
        <v>1</v>
      </c>
      <c r="L12" s="185"/>
      <c r="M12" s="186"/>
      <c r="N12" s="187"/>
      <c r="O12" s="198">
        <v>209</v>
      </c>
      <c r="P12" s="199"/>
      <c r="V12" s="184" t="s">
        <v>2548</v>
      </c>
    </row>
    <row r="13" spans="1:23" ht="16.5" customHeight="1" x14ac:dyDescent="0.2">
      <c r="A13" s="193">
        <v>16</v>
      </c>
      <c r="B13" s="184">
        <v>7799</v>
      </c>
      <c r="C13" s="210" t="s">
        <v>2741</v>
      </c>
      <c r="D13" s="288"/>
      <c r="E13" s="287"/>
      <c r="F13" s="262" t="s">
        <v>398</v>
      </c>
      <c r="G13" s="216" t="s">
        <v>397</v>
      </c>
      <c r="H13" s="201">
        <v>0.9</v>
      </c>
      <c r="I13" s="226"/>
      <c r="J13" s="196"/>
      <c r="K13" s="197"/>
      <c r="L13" s="185"/>
      <c r="M13" s="186"/>
      <c r="N13" s="187"/>
      <c r="O13" s="198">
        <v>188</v>
      </c>
      <c r="P13" s="199"/>
      <c r="V13" s="184" t="s">
        <v>2549</v>
      </c>
    </row>
    <row r="14" spans="1:23" ht="16.5" customHeight="1" x14ac:dyDescent="0.2">
      <c r="A14" s="193">
        <v>16</v>
      </c>
      <c r="B14" s="184">
        <v>7800</v>
      </c>
      <c r="C14" s="210" t="s">
        <v>2742</v>
      </c>
      <c r="D14" s="218">
        <v>139</v>
      </c>
      <c r="E14" s="227" t="s">
        <v>394</v>
      </c>
      <c r="F14" s="292"/>
      <c r="G14" s="189"/>
      <c r="H14" s="190"/>
      <c r="I14" s="214" t="s">
        <v>396</v>
      </c>
      <c r="J14" s="215" t="s">
        <v>397</v>
      </c>
      <c r="K14" s="197">
        <v>1</v>
      </c>
      <c r="L14" s="185"/>
      <c r="M14" s="186"/>
      <c r="N14" s="187"/>
      <c r="O14" s="198">
        <v>188</v>
      </c>
      <c r="P14" s="199"/>
      <c r="V14" s="184" t="s">
        <v>2550</v>
      </c>
    </row>
    <row r="15" spans="1:23" ht="16.5" customHeight="1" x14ac:dyDescent="0.2">
      <c r="A15" s="193">
        <v>16</v>
      </c>
      <c r="B15" s="184">
        <v>7801</v>
      </c>
      <c r="C15" s="210" t="s">
        <v>2743</v>
      </c>
      <c r="D15" s="264" t="s">
        <v>1959</v>
      </c>
      <c r="E15" s="290"/>
      <c r="F15" s="202"/>
      <c r="G15" s="200"/>
      <c r="H15" s="201"/>
      <c r="I15" s="226"/>
      <c r="J15" s="196"/>
      <c r="K15" s="197"/>
      <c r="L15" s="185"/>
      <c r="M15" s="186"/>
      <c r="N15" s="187"/>
      <c r="O15" s="198">
        <v>312</v>
      </c>
      <c r="P15" s="199"/>
      <c r="V15" s="184" t="s">
        <v>2551</v>
      </c>
    </row>
    <row r="16" spans="1:23" ht="16.5" customHeight="1" x14ac:dyDescent="0.2">
      <c r="A16" s="193">
        <v>16</v>
      </c>
      <c r="B16" s="184">
        <v>7802</v>
      </c>
      <c r="C16" s="210" t="s">
        <v>2744</v>
      </c>
      <c r="D16" s="288"/>
      <c r="E16" s="287"/>
      <c r="F16" s="194"/>
      <c r="G16" s="189"/>
      <c r="H16" s="190"/>
      <c r="I16" s="214" t="s">
        <v>396</v>
      </c>
      <c r="J16" s="215" t="s">
        <v>397</v>
      </c>
      <c r="K16" s="197">
        <v>1</v>
      </c>
      <c r="L16" s="185"/>
      <c r="M16" s="186"/>
      <c r="N16" s="187"/>
      <c r="O16" s="198">
        <v>312</v>
      </c>
      <c r="P16" s="199"/>
      <c r="V16" s="184" t="s">
        <v>2552</v>
      </c>
    </row>
    <row r="17" spans="1:22" ht="16.5" customHeight="1" x14ac:dyDescent="0.2">
      <c r="A17" s="193">
        <v>16</v>
      </c>
      <c r="B17" s="184">
        <v>7803</v>
      </c>
      <c r="C17" s="210" t="s">
        <v>2745</v>
      </c>
      <c r="D17" s="288"/>
      <c r="E17" s="287"/>
      <c r="F17" s="262" t="s">
        <v>398</v>
      </c>
      <c r="G17" s="216" t="s">
        <v>397</v>
      </c>
      <c r="H17" s="201">
        <v>0.9</v>
      </c>
      <c r="I17" s="226"/>
      <c r="J17" s="196"/>
      <c r="K17" s="197"/>
      <c r="L17" s="185"/>
      <c r="M17" s="186"/>
      <c r="N17" s="187"/>
      <c r="O17" s="198">
        <v>281</v>
      </c>
      <c r="P17" s="199"/>
      <c r="V17" s="184" t="s">
        <v>2553</v>
      </c>
    </row>
    <row r="18" spans="1:22" ht="16.5" customHeight="1" x14ac:dyDescent="0.2">
      <c r="A18" s="193">
        <v>16</v>
      </c>
      <c r="B18" s="184">
        <v>7804</v>
      </c>
      <c r="C18" s="210" t="s">
        <v>2746</v>
      </c>
      <c r="D18" s="218">
        <v>208</v>
      </c>
      <c r="E18" s="227" t="s">
        <v>394</v>
      </c>
      <c r="F18" s="292"/>
      <c r="G18" s="189"/>
      <c r="H18" s="190"/>
      <c r="I18" s="214" t="s">
        <v>396</v>
      </c>
      <c r="J18" s="215" t="s">
        <v>397</v>
      </c>
      <c r="K18" s="197">
        <v>1</v>
      </c>
      <c r="L18" s="185"/>
      <c r="M18" s="186"/>
      <c r="N18" s="187"/>
      <c r="O18" s="198">
        <v>281</v>
      </c>
      <c r="P18" s="199"/>
      <c r="V18" s="184" t="s">
        <v>2554</v>
      </c>
    </row>
    <row r="19" spans="1:22" ht="16.5" customHeight="1" x14ac:dyDescent="0.2">
      <c r="A19" s="193">
        <v>16</v>
      </c>
      <c r="B19" s="184">
        <v>7805</v>
      </c>
      <c r="C19" s="210" t="s">
        <v>2747</v>
      </c>
      <c r="D19" s="264" t="s">
        <v>1960</v>
      </c>
      <c r="E19" s="290"/>
      <c r="F19" s="202"/>
      <c r="G19" s="200"/>
      <c r="H19" s="201"/>
      <c r="I19" s="226"/>
      <c r="J19" s="196"/>
      <c r="K19" s="197"/>
      <c r="L19" s="185"/>
      <c r="M19" s="186"/>
      <c r="N19" s="187"/>
      <c r="O19" s="198">
        <v>416</v>
      </c>
      <c r="P19" s="199"/>
      <c r="V19" s="184" t="s">
        <v>2555</v>
      </c>
    </row>
    <row r="20" spans="1:22" ht="16.5" customHeight="1" x14ac:dyDescent="0.2">
      <c r="A20" s="193">
        <v>16</v>
      </c>
      <c r="B20" s="184">
        <v>7806</v>
      </c>
      <c r="C20" s="210" t="s">
        <v>2748</v>
      </c>
      <c r="D20" s="288"/>
      <c r="E20" s="287"/>
      <c r="F20" s="194"/>
      <c r="G20" s="189"/>
      <c r="H20" s="190"/>
      <c r="I20" s="214" t="s">
        <v>396</v>
      </c>
      <c r="J20" s="215" t="s">
        <v>397</v>
      </c>
      <c r="K20" s="197">
        <v>1</v>
      </c>
      <c r="L20" s="185"/>
      <c r="M20" s="186"/>
      <c r="N20" s="187"/>
      <c r="O20" s="198">
        <v>416</v>
      </c>
      <c r="P20" s="199"/>
      <c r="V20" s="184" t="s">
        <v>2556</v>
      </c>
    </row>
    <row r="21" spans="1:22" ht="16.5" customHeight="1" x14ac:dyDescent="0.2">
      <c r="A21" s="193">
        <v>16</v>
      </c>
      <c r="B21" s="184">
        <v>7807</v>
      </c>
      <c r="C21" s="210" t="s">
        <v>2749</v>
      </c>
      <c r="D21" s="288"/>
      <c r="E21" s="287"/>
      <c r="F21" s="262" t="s">
        <v>398</v>
      </c>
      <c r="G21" s="216" t="s">
        <v>397</v>
      </c>
      <c r="H21" s="201">
        <v>0.9</v>
      </c>
      <c r="I21" s="226"/>
      <c r="J21" s="196"/>
      <c r="K21" s="197"/>
      <c r="L21" s="185"/>
      <c r="M21" s="186"/>
      <c r="N21" s="187"/>
      <c r="O21" s="198">
        <v>374</v>
      </c>
      <c r="P21" s="199"/>
      <c r="V21" s="184" t="s">
        <v>2557</v>
      </c>
    </row>
    <row r="22" spans="1:22" ht="16.5" customHeight="1" x14ac:dyDescent="0.2">
      <c r="A22" s="193">
        <v>16</v>
      </c>
      <c r="B22" s="184">
        <v>7808</v>
      </c>
      <c r="C22" s="210" t="s">
        <v>2750</v>
      </c>
      <c r="D22" s="218">
        <v>277</v>
      </c>
      <c r="E22" s="227" t="s">
        <v>394</v>
      </c>
      <c r="F22" s="292"/>
      <c r="G22" s="189"/>
      <c r="H22" s="190"/>
      <c r="I22" s="214" t="s">
        <v>396</v>
      </c>
      <c r="J22" s="215" t="s">
        <v>397</v>
      </c>
      <c r="K22" s="197">
        <v>1</v>
      </c>
      <c r="L22" s="185"/>
      <c r="M22" s="186"/>
      <c r="N22" s="187"/>
      <c r="O22" s="198">
        <v>374</v>
      </c>
      <c r="P22" s="199"/>
      <c r="V22" s="184" t="s">
        <v>2558</v>
      </c>
    </row>
    <row r="23" spans="1:22" ht="16.5" customHeight="1" x14ac:dyDescent="0.2">
      <c r="A23" s="193">
        <v>16</v>
      </c>
      <c r="B23" s="184">
        <v>7809</v>
      </c>
      <c r="C23" s="210" t="s">
        <v>2751</v>
      </c>
      <c r="D23" s="264" t="s">
        <v>1961</v>
      </c>
      <c r="E23" s="290"/>
      <c r="F23" s="202"/>
      <c r="G23" s="200"/>
      <c r="H23" s="201"/>
      <c r="I23" s="226"/>
      <c r="J23" s="196"/>
      <c r="K23" s="197"/>
      <c r="L23" s="185"/>
      <c r="M23" s="186"/>
      <c r="N23" s="187"/>
      <c r="O23" s="198">
        <v>519</v>
      </c>
      <c r="P23" s="199"/>
      <c r="V23" s="184" t="s">
        <v>2559</v>
      </c>
    </row>
    <row r="24" spans="1:22" ht="16.5" customHeight="1" x14ac:dyDescent="0.2">
      <c r="A24" s="193">
        <v>16</v>
      </c>
      <c r="B24" s="184">
        <v>7810</v>
      </c>
      <c r="C24" s="210" t="s">
        <v>2752</v>
      </c>
      <c r="D24" s="288"/>
      <c r="E24" s="287"/>
      <c r="F24" s="194"/>
      <c r="G24" s="189"/>
      <c r="H24" s="190"/>
      <c r="I24" s="214" t="s">
        <v>396</v>
      </c>
      <c r="J24" s="215" t="s">
        <v>397</v>
      </c>
      <c r="K24" s="197">
        <v>1</v>
      </c>
      <c r="L24" s="185"/>
      <c r="M24" s="186"/>
      <c r="N24" s="187"/>
      <c r="O24" s="198">
        <v>519</v>
      </c>
      <c r="P24" s="199"/>
      <c r="V24" s="184" t="s">
        <v>2560</v>
      </c>
    </row>
    <row r="25" spans="1:22" ht="16.5" customHeight="1" x14ac:dyDescent="0.2">
      <c r="A25" s="193">
        <v>16</v>
      </c>
      <c r="B25" s="184">
        <v>7811</v>
      </c>
      <c r="C25" s="210" t="s">
        <v>2753</v>
      </c>
      <c r="D25" s="288"/>
      <c r="E25" s="287"/>
      <c r="F25" s="262" t="s">
        <v>398</v>
      </c>
      <c r="G25" s="216" t="s">
        <v>397</v>
      </c>
      <c r="H25" s="201">
        <v>0.9</v>
      </c>
      <c r="I25" s="226"/>
      <c r="J25" s="196"/>
      <c r="K25" s="197"/>
      <c r="L25" s="185"/>
      <c r="M25" s="186"/>
      <c r="N25" s="187"/>
      <c r="O25" s="198">
        <v>467</v>
      </c>
      <c r="P25" s="199"/>
      <c r="V25" s="184" t="s">
        <v>2561</v>
      </c>
    </row>
    <row r="26" spans="1:22" ht="16.5" customHeight="1" x14ac:dyDescent="0.2">
      <c r="A26" s="193">
        <v>16</v>
      </c>
      <c r="B26" s="184">
        <v>7812</v>
      </c>
      <c r="C26" s="210" t="s">
        <v>2754</v>
      </c>
      <c r="D26" s="218">
        <v>346</v>
      </c>
      <c r="E26" s="227" t="s">
        <v>394</v>
      </c>
      <c r="F26" s="292"/>
      <c r="G26" s="189"/>
      <c r="H26" s="190"/>
      <c r="I26" s="214" t="s">
        <v>396</v>
      </c>
      <c r="J26" s="215" t="s">
        <v>397</v>
      </c>
      <c r="K26" s="197">
        <v>1</v>
      </c>
      <c r="L26" s="185"/>
      <c r="M26" s="186"/>
      <c r="N26" s="187"/>
      <c r="O26" s="198">
        <v>467</v>
      </c>
      <c r="P26" s="199"/>
      <c r="V26" s="184" t="s">
        <v>2562</v>
      </c>
    </row>
    <row r="27" spans="1:22" ht="16.5" customHeight="1" x14ac:dyDescent="0.2">
      <c r="A27" s="193">
        <v>16</v>
      </c>
      <c r="B27" s="184">
        <v>7813</v>
      </c>
      <c r="C27" s="210" t="s">
        <v>2755</v>
      </c>
      <c r="D27" s="264" t="s">
        <v>1962</v>
      </c>
      <c r="E27" s="290"/>
      <c r="F27" s="202"/>
      <c r="G27" s="200"/>
      <c r="H27" s="201"/>
      <c r="I27" s="226"/>
      <c r="J27" s="196"/>
      <c r="K27" s="197"/>
      <c r="L27" s="185"/>
      <c r="M27" s="186"/>
      <c r="N27" s="187"/>
      <c r="O27" s="198">
        <v>623</v>
      </c>
      <c r="P27" s="199"/>
      <c r="V27" s="184" t="s">
        <v>2563</v>
      </c>
    </row>
    <row r="28" spans="1:22" ht="16.5" customHeight="1" x14ac:dyDescent="0.2">
      <c r="A28" s="193">
        <v>16</v>
      </c>
      <c r="B28" s="184">
        <v>7814</v>
      </c>
      <c r="C28" s="210" t="s">
        <v>2756</v>
      </c>
      <c r="D28" s="288"/>
      <c r="E28" s="287"/>
      <c r="F28" s="194"/>
      <c r="G28" s="189"/>
      <c r="H28" s="190"/>
      <c r="I28" s="214" t="s">
        <v>396</v>
      </c>
      <c r="J28" s="215" t="s">
        <v>397</v>
      </c>
      <c r="K28" s="197">
        <v>1</v>
      </c>
      <c r="L28" s="185"/>
      <c r="M28" s="186"/>
      <c r="N28" s="187"/>
      <c r="O28" s="198">
        <v>623</v>
      </c>
      <c r="P28" s="199"/>
      <c r="V28" s="184" t="s">
        <v>2564</v>
      </c>
    </row>
    <row r="29" spans="1:22" ht="16.5" customHeight="1" x14ac:dyDescent="0.2">
      <c r="A29" s="193">
        <v>16</v>
      </c>
      <c r="B29" s="184">
        <v>7815</v>
      </c>
      <c r="C29" s="210" t="s">
        <v>2757</v>
      </c>
      <c r="D29" s="288"/>
      <c r="E29" s="287"/>
      <c r="F29" s="262" t="s">
        <v>398</v>
      </c>
      <c r="G29" s="216" t="s">
        <v>397</v>
      </c>
      <c r="H29" s="201">
        <v>0.9</v>
      </c>
      <c r="I29" s="226"/>
      <c r="J29" s="196"/>
      <c r="K29" s="197"/>
      <c r="L29" s="185"/>
      <c r="M29" s="186"/>
      <c r="N29" s="187"/>
      <c r="O29" s="198">
        <v>561</v>
      </c>
      <c r="P29" s="199"/>
      <c r="V29" s="184" t="s">
        <v>2565</v>
      </c>
    </row>
    <row r="30" spans="1:22" ht="16.5" customHeight="1" x14ac:dyDescent="0.2">
      <c r="A30" s="193">
        <v>16</v>
      </c>
      <c r="B30" s="184">
        <v>7816</v>
      </c>
      <c r="C30" s="210" t="s">
        <v>2758</v>
      </c>
      <c r="D30" s="218">
        <v>415</v>
      </c>
      <c r="E30" s="227" t="s">
        <v>394</v>
      </c>
      <c r="F30" s="292"/>
      <c r="G30" s="189"/>
      <c r="H30" s="190"/>
      <c r="I30" s="214" t="s">
        <v>396</v>
      </c>
      <c r="J30" s="215" t="s">
        <v>397</v>
      </c>
      <c r="K30" s="197">
        <v>1</v>
      </c>
      <c r="L30" s="185"/>
      <c r="M30" s="186"/>
      <c r="N30" s="187"/>
      <c r="O30" s="198">
        <v>561</v>
      </c>
      <c r="P30" s="199"/>
      <c r="V30" s="184" t="s">
        <v>2566</v>
      </c>
    </row>
    <row r="31" spans="1:22" ht="16.5" customHeight="1" x14ac:dyDescent="0.2">
      <c r="A31" s="193">
        <v>16</v>
      </c>
      <c r="B31" s="184">
        <v>7817</v>
      </c>
      <c r="C31" s="210" t="s">
        <v>2759</v>
      </c>
      <c r="D31" s="264" t="s">
        <v>1963</v>
      </c>
      <c r="E31" s="290"/>
      <c r="F31" s="202"/>
      <c r="G31" s="200"/>
      <c r="H31" s="201"/>
      <c r="I31" s="226"/>
      <c r="J31" s="196"/>
      <c r="K31" s="197"/>
      <c r="L31" s="185"/>
      <c r="M31" s="186"/>
      <c r="N31" s="187"/>
      <c r="O31" s="198">
        <v>726</v>
      </c>
      <c r="P31" s="199"/>
      <c r="V31" s="184" t="s">
        <v>2567</v>
      </c>
    </row>
    <row r="32" spans="1:22" ht="16.5" customHeight="1" x14ac:dyDescent="0.2">
      <c r="A32" s="193">
        <v>16</v>
      </c>
      <c r="B32" s="184">
        <v>7818</v>
      </c>
      <c r="C32" s="210" t="s">
        <v>2760</v>
      </c>
      <c r="D32" s="288"/>
      <c r="E32" s="287"/>
      <c r="F32" s="194"/>
      <c r="G32" s="189"/>
      <c r="H32" s="190"/>
      <c r="I32" s="214" t="s">
        <v>396</v>
      </c>
      <c r="J32" s="215" t="s">
        <v>397</v>
      </c>
      <c r="K32" s="197">
        <v>1</v>
      </c>
      <c r="L32" s="185"/>
      <c r="M32" s="186"/>
      <c r="N32" s="187"/>
      <c r="O32" s="198">
        <v>726</v>
      </c>
      <c r="P32" s="199"/>
      <c r="V32" s="184" t="s">
        <v>2568</v>
      </c>
    </row>
    <row r="33" spans="1:22" ht="16.5" customHeight="1" x14ac:dyDescent="0.2">
      <c r="A33" s="193">
        <v>16</v>
      </c>
      <c r="B33" s="184">
        <v>7819</v>
      </c>
      <c r="C33" s="210" t="s">
        <v>2761</v>
      </c>
      <c r="D33" s="288"/>
      <c r="E33" s="287"/>
      <c r="F33" s="262" t="s">
        <v>398</v>
      </c>
      <c r="G33" s="216" t="s">
        <v>397</v>
      </c>
      <c r="H33" s="201">
        <v>0.9</v>
      </c>
      <c r="I33" s="226"/>
      <c r="J33" s="196"/>
      <c r="K33" s="197"/>
      <c r="L33" s="185"/>
      <c r="M33" s="186"/>
      <c r="N33" s="187"/>
      <c r="O33" s="198">
        <v>654</v>
      </c>
      <c r="P33" s="199"/>
      <c r="V33" s="184" t="s">
        <v>2569</v>
      </c>
    </row>
    <row r="34" spans="1:22" ht="16.5" customHeight="1" x14ac:dyDescent="0.2">
      <c r="A34" s="193">
        <v>16</v>
      </c>
      <c r="B34" s="184">
        <v>7820</v>
      </c>
      <c r="C34" s="210" t="s">
        <v>2762</v>
      </c>
      <c r="D34" s="218">
        <v>484</v>
      </c>
      <c r="E34" s="227" t="s">
        <v>394</v>
      </c>
      <c r="F34" s="292"/>
      <c r="G34" s="189"/>
      <c r="H34" s="190"/>
      <c r="I34" s="214" t="s">
        <v>396</v>
      </c>
      <c r="J34" s="215" t="s">
        <v>397</v>
      </c>
      <c r="K34" s="197">
        <v>1</v>
      </c>
      <c r="L34" s="185"/>
      <c r="M34" s="186"/>
      <c r="N34" s="187"/>
      <c r="O34" s="198">
        <v>654</v>
      </c>
      <c r="P34" s="199"/>
      <c r="V34" s="184" t="s">
        <v>2570</v>
      </c>
    </row>
    <row r="35" spans="1:22" ht="16.5" customHeight="1" x14ac:dyDescent="0.2">
      <c r="A35" s="193">
        <v>16</v>
      </c>
      <c r="B35" s="184">
        <v>7821</v>
      </c>
      <c r="C35" s="210" t="s">
        <v>2763</v>
      </c>
      <c r="D35" s="264" t="s">
        <v>1964</v>
      </c>
      <c r="E35" s="290"/>
      <c r="F35" s="202"/>
      <c r="G35" s="200"/>
      <c r="H35" s="201"/>
      <c r="I35" s="226"/>
      <c r="J35" s="196"/>
      <c r="K35" s="197"/>
      <c r="L35" s="185"/>
      <c r="M35" s="186"/>
      <c r="N35" s="187"/>
      <c r="O35" s="198">
        <v>830</v>
      </c>
      <c r="P35" s="199"/>
      <c r="V35" s="184" t="s">
        <v>2571</v>
      </c>
    </row>
    <row r="36" spans="1:22" ht="16.5" customHeight="1" x14ac:dyDescent="0.2">
      <c r="A36" s="193">
        <v>16</v>
      </c>
      <c r="B36" s="184">
        <v>7822</v>
      </c>
      <c r="C36" s="210" t="s">
        <v>2764</v>
      </c>
      <c r="D36" s="288"/>
      <c r="E36" s="287"/>
      <c r="F36" s="194"/>
      <c r="G36" s="189"/>
      <c r="H36" s="190"/>
      <c r="I36" s="214" t="s">
        <v>396</v>
      </c>
      <c r="J36" s="215" t="s">
        <v>397</v>
      </c>
      <c r="K36" s="197">
        <v>1</v>
      </c>
      <c r="L36" s="185"/>
      <c r="M36" s="186"/>
      <c r="N36" s="187"/>
      <c r="O36" s="198">
        <v>830</v>
      </c>
      <c r="P36" s="199"/>
      <c r="V36" s="184" t="s">
        <v>2572</v>
      </c>
    </row>
    <row r="37" spans="1:22" ht="16.5" customHeight="1" x14ac:dyDescent="0.2">
      <c r="A37" s="193">
        <v>16</v>
      </c>
      <c r="B37" s="184">
        <v>7823</v>
      </c>
      <c r="C37" s="210" t="s">
        <v>2765</v>
      </c>
      <c r="D37" s="288"/>
      <c r="E37" s="287"/>
      <c r="F37" s="262" t="s">
        <v>398</v>
      </c>
      <c r="G37" s="216" t="s">
        <v>397</v>
      </c>
      <c r="H37" s="201">
        <v>0.9</v>
      </c>
      <c r="I37" s="226"/>
      <c r="J37" s="196"/>
      <c r="K37" s="197"/>
      <c r="L37" s="185"/>
      <c r="M37" s="186"/>
      <c r="N37" s="187"/>
      <c r="O37" s="198">
        <v>747</v>
      </c>
      <c r="P37" s="199"/>
      <c r="V37" s="184" t="s">
        <v>2573</v>
      </c>
    </row>
    <row r="38" spans="1:22" ht="16.5" customHeight="1" x14ac:dyDescent="0.2">
      <c r="A38" s="193">
        <v>16</v>
      </c>
      <c r="B38" s="184">
        <v>7824</v>
      </c>
      <c r="C38" s="210" t="s">
        <v>2766</v>
      </c>
      <c r="D38" s="218">
        <v>553</v>
      </c>
      <c r="E38" s="227" t="s">
        <v>394</v>
      </c>
      <c r="F38" s="292"/>
      <c r="G38" s="189"/>
      <c r="H38" s="190"/>
      <c r="I38" s="214" t="s">
        <v>396</v>
      </c>
      <c r="J38" s="215" t="s">
        <v>397</v>
      </c>
      <c r="K38" s="197">
        <v>1</v>
      </c>
      <c r="L38" s="185"/>
      <c r="M38" s="186"/>
      <c r="N38" s="187"/>
      <c r="O38" s="198">
        <v>747</v>
      </c>
      <c r="P38" s="199"/>
      <c r="V38" s="184" t="s">
        <v>2574</v>
      </c>
    </row>
    <row r="39" spans="1:22" ht="16.5" customHeight="1" x14ac:dyDescent="0.2">
      <c r="A39" s="193">
        <v>16</v>
      </c>
      <c r="B39" s="184">
        <v>7825</v>
      </c>
      <c r="C39" s="210" t="s">
        <v>2767</v>
      </c>
      <c r="D39" s="264" t="s">
        <v>1965</v>
      </c>
      <c r="E39" s="290"/>
      <c r="F39" s="202"/>
      <c r="G39" s="200"/>
      <c r="H39" s="201"/>
      <c r="I39" s="226"/>
      <c r="J39" s="196"/>
      <c r="K39" s="197"/>
      <c r="L39" s="185"/>
      <c r="M39" s="186"/>
      <c r="N39" s="187"/>
      <c r="O39" s="198">
        <v>933</v>
      </c>
      <c r="P39" s="199"/>
      <c r="V39" s="184" t="s">
        <v>2575</v>
      </c>
    </row>
    <row r="40" spans="1:22" ht="16.5" customHeight="1" x14ac:dyDescent="0.2">
      <c r="A40" s="193">
        <v>16</v>
      </c>
      <c r="B40" s="184">
        <v>7826</v>
      </c>
      <c r="C40" s="210" t="s">
        <v>2768</v>
      </c>
      <c r="D40" s="288"/>
      <c r="E40" s="287"/>
      <c r="F40" s="194"/>
      <c r="G40" s="189"/>
      <c r="H40" s="190"/>
      <c r="I40" s="214" t="s">
        <v>396</v>
      </c>
      <c r="J40" s="215" t="s">
        <v>397</v>
      </c>
      <c r="K40" s="197">
        <v>1</v>
      </c>
      <c r="L40" s="185"/>
      <c r="M40" s="186"/>
      <c r="N40" s="187"/>
      <c r="O40" s="198">
        <v>933</v>
      </c>
      <c r="P40" s="199"/>
      <c r="V40" s="184" t="s">
        <v>2576</v>
      </c>
    </row>
    <row r="41" spans="1:22" ht="16.5" customHeight="1" x14ac:dyDescent="0.2">
      <c r="A41" s="193">
        <v>16</v>
      </c>
      <c r="B41" s="184">
        <v>7827</v>
      </c>
      <c r="C41" s="210" t="s">
        <v>2769</v>
      </c>
      <c r="D41" s="288"/>
      <c r="E41" s="287"/>
      <c r="F41" s="262" t="s">
        <v>398</v>
      </c>
      <c r="G41" s="216" t="s">
        <v>397</v>
      </c>
      <c r="H41" s="201">
        <v>0.9</v>
      </c>
      <c r="I41" s="226"/>
      <c r="J41" s="196"/>
      <c r="K41" s="197"/>
      <c r="L41" s="185"/>
      <c r="M41" s="186"/>
      <c r="N41" s="187"/>
      <c r="O41" s="198">
        <v>840</v>
      </c>
      <c r="P41" s="199"/>
      <c r="V41" s="184" t="s">
        <v>2577</v>
      </c>
    </row>
    <row r="42" spans="1:22" ht="16.5" customHeight="1" x14ac:dyDescent="0.2">
      <c r="A42" s="193">
        <v>16</v>
      </c>
      <c r="B42" s="184">
        <v>7828</v>
      </c>
      <c r="C42" s="210" t="s">
        <v>2770</v>
      </c>
      <c r="D42" s="220">
        <v>622</v>
      </c>
      <c r="E42" s="228" t="s">
        <v>394</v>
      </c>
      <c r="F42" s="292"/>
      <c r="G42" s="189"/>
      <c r="H42" s="190"/>
      <c r="I42" s="214" t="s">
        <v>396</v>
      </c>
      <c r="J42" s="215" t="s">
        <v>397</v>
      </c>
      <c r="K42" s="197">
        <v>1</v>
      </c>
      <c r="L42" s="185"/>
      <c r="M42" s="186"/>
      <c r="N42" s="187"/>
      <c r="O42" s="198">
        <v>840</v>
      </c>
      <c r="P42" s="199"/>
      <c r="V42" s="184" t="s">
        <v>2578</v>
      </c>
    </row>
    <row r="43" spans="1:22" ht="16.5" customHeight="1" x14ac:dyDescent="0.2">
      <c r="A43" s="184">
        <v>16</v>
      </c>
      <c r="B43" s="184">
        <v>7829</v>
      </c>
      <c r="C43" s="207" t="s">
        <v>2771</v>
      </c>
      <c r="D43" s="259" t="s">
        <v>1966</v>
      </c>
      <c r="E43" s="287"/>
      <c r="F43" s="185"/>
      <c r="G43" s="186"/>
      <c r="H43" s="187"/>
      <c r="I43" s="235"/>
      <c r="J43" s="189"/>
      <c r="K43" s="190"/>
      <c r="L43" s="185"/>
      <c r="M43" s="186"/>
      <c r="N43" s="209"/>
      <c r="O43" s="191">
        <v>1037</v>
      </c>
      <c r="P43" s="192"/>
      <c r="V43" s="184" t="s">
        <v>2579</v>
      </c>
    </row>
    <row r="44" spans="1:22" ht="16.5" customHeight="1" x14ac:dyDescent="0.2">
      <c r="A44" s="193">
        <v>16</v>
      </c>
      <c r="B44" s="184">
        <v>7830</v>
      </c>
      <c r="C44" s="210" t="s">
        <v>2772</v>
      </c>
      <c r="D44" s="288"/>
      <c r="E44" s="287"/>
      <c r="F44" s="194"/>
      <c r="G44" s="189"/>
      <c r="H44" s="190"/>
      <c r="I44" s="214" t="s">
        <v>396</v>
      </c>
      <c r="J44" s="215" t="s">
        <v>397</v>
      </c>
      <c r="K44" s="197">
        <v>1</v>
      </c>
      <c r="L44" s="224"/>
      <c r="M44" s="187"/>
      <c r="N44" s="291"/>
      <c r="O44" s="198">
        <v>1037</v>
      </c>
      <c r="P44" s="199"/>
      <c r="V44" s="184" t="s">
        <v>2580</v>
      </c>
    </row>
    <row r="45" spans="1:22" ht="16.5" customHeight="1" x14ac:dyDescent="0.2">
      <c r="A45" s="193">
        <v>16</v>
      </c>
      <c r="B45" s="184">
        <v>7831</v>
      </c>
      <c r="C45" s="210" t="s">
        <v>2773</v>
      </c>
      <c r="D45" s="288"/>
      <c r="E45" s="287"/>
      <c r="F45" s="262" t="s">
        <v>398</v>
      </c>
      <c r="G45" s="216" t="s">
        <v>397</v>
      </c>
      <c r="H45" s="201">
        <v>0.9</v>
      </c>
      <c r="I45" s="226"/>
      <c r="J45" s="196"/>
      <c r="K45" s="197"/>
      <c r="L45" s="185"/>
      <c r="M45" s="186"/>
      <c r="N45" s="287"/>
      <c r="O45" s="198">
        <v>933</v>
      </c>
      <c r="P45" s="199"/>
      <c r="V45" s="184" t="s">
        <v>2581</v>
      </c>
    </row>
    <row r="46" spans="1:22" ht="16.5" customHeight="1" x14ac:dyDescent="0.2">
      <c r="A46" s="193">
        <v>16</v>
      </c>
      <c r="B46" s="184">
        <v>7832</v>
      </c>
      <c r="C46" s="210" t="s">
        <v>2774</v>
      </c>
      <c r="D46" s="218">
        <v>691</v>
      </c>
      <c r="E46" s="227" t="s">
        <v>394</v>
      </c>
      <c r="F46" s="292"/>
      <c r="G46" s="189"/>
      <c r="H46" s="190"/>
      <c r="I46" s="214" t="s">
        <v>396</v>
      </c>
      <c r="J46" s="215" t="s">
        <v>397</v>
      </c>
      <c r="K46" s="197">
        <v>1</v>
      </c>
      <c r="L46" s="185"/>
      <c r="M46" s="186"/>
      <c r="N46" s="187"/>
      <c r="O46" s="198">
        <v>933</v>
      </c>
      <c r="P46" s="199"/>
      <c r="V46" s="184" t="s">
        <v>2582</v>
      </c>
    </row>
    <row r="47" spans="1:22" ht="16.5" customHeight="1" x14ac:dyDescent="0.2">
      <c r="A47" s="193">
        <v>16</v>
      </c>
      <c r="B47" s="184">
        <v>7833</v>
      </c>
      <c r="C47" s="210" t="s">
        <v>2775</v>
      </c>
      <c r="D47" s="264" t="s">
        <v>1967</v>
      </c>
      <c r="E47" s="290"/>
      <c r="F47" s="202"/>
      <c r="G47" s="200"/>
      <c r="H47" s="201"/>
      <c r="I47" s="226"/>
      <c r="J47" s="196"/>
      <c r="K47" s="197"/>
      <c r="L47" s="185"/>
      <c r="M47" s="186"/>
      <c r="N47" s="187"/>
      <c r="O47" s="198">
        <v>1140</v>
      </c>
      <c r="P47" s="199"/>
      <c r="V47" s="184" t="s">
        <v>2583</v>
      </c>
    </row>
    <row r="48" spans="1:22" ht="16.5" customHeight="1" x14ac:dyDescent="0.2">
      <c r="A48" s="193">
        <v>16</v>
      </c>
      <c r="B48" s="184">
        <v>7834</v>
      </c>
      <c r="C48" s="210" t="s">
        <v>2776</v>
      </c>
      <c r="D48" s="288"/>
      <c r="E48" s="287"/>
      <c r="F48" s="194"/>
      <c r="G48" s="189"/>
      <c r="H48" s="190"/>
      <c r="I48" s="214" t="s">
        <v>396</v>
      </c>
      <c r="J48" s="215" t="s">
        <v>397</v>
      </c>
      <c r="K48" s="197">
        <v>1</v>
      </c>
      <c r="L48" s="185"/>
      <c r="M48" s="186"/>
      <c r="N48" s="187"/>
      <c r="O48" s="198">
        <v>1140</v>
      </c>
      <c r="P48" s="199"/>
      <c r="V48" s="184" t="s">
        <v>2584</v>
      </c>
    </row>
    <row r="49" spans="1:22" ht="16.5" customHeight="1" x14ac:dyDescent="0.2">
      <c r="A49" s="193">
        <v>16</v>
      </c>
      <c r="B49" s="184">
        <v>7835</v>
      </c>
      <c r="C49" s="210" t="s">
        <v>2777</v>
      </c>
      <c r="D49" s="288"/>
      <c r="E49" s="287"/>
      <c r="F49" s="262" t="s">
        <v>398</v>
      </c>
      <c r="G49" s="216" t="s">
        <v>397</v>
      </c>
      <c r="H49" s="201">
        <v>0.9</v>
      </c>
      <c r="I49" s="226"/>
      <c r="J49" s="196"/>
      <c r="K49" s="197"/>
      <c r="L49" s="185"/>
      <c r="M49" s="186"/>
      <c r="N49" s="187"/>
      <c r="O49" s="198">
        <v>1026</v>
      </c>
      <c r="P49" s="199"/>
      <c r="V49" s="184" t="s">
        <v>2585</v>
      </c>
    </row>
    <row r="50" spans="1:22" ht="16.5" customHeight="1" x14ac:dyDescent="0.2">
      <c r="A50" s="193">
        <v>16</v>
      </c>
      <c r="B50" s="184">
        <v>7836</v>
      </c>
      <c r="C50" s="210" t="s">
        <v>2778</v>
      </c>
      <c r="D50" s="218">
        <v>760</v>
      </c>
      <c r="E50" s="227" t="s">
        <v>394</v>
      </c>
      <c r="F50" s="292"/>
      <c r="G50" s="189"/>
      <c r="H50" s="190"/>
      <c r="I50" s="214" t="s">
        <v>396</v>
      </c>
      <c r="J50" s="215" t="s">
        <v>397</v>
      </c>
      <c r="K50" s="197">
        <v>1</v>
      </c>
      <c r="L50" s="185"/>
      <c r="M50" s="186"/>
      <c r="N50" s="187"/>
      <c r="O50" s="198">
        <v>1026</v>
      </c>
      <c r="P50" s="199"/>
      <c r="V50" s="184" t="s">
        <v>2586</v>
      </c>
    </row>
    <row r="51" spans="1:22" ht="16.5" customHeight="1" x14ac:dyDescent="0.2">
      <c r="A51" s="193">
        <v>16</v>
      </c>
      <c r="B51" s="184">
        <v>7837</v>
      </c>
      <c r="C51" s="210" t="s">
        <v>2779</v>
      </c>
      <c r="D51" s="264" t="s">
        <v>1968</v>
      </c>
      <c r="E51" s="290"/>
      <c r="F51" s="202"/>
      <c r="G51" s="200"/>
      <c r="H51" s="201"/>
      <c r="I51" s="226"/>
      <c r="J51" s="196"/>
      <c r="K51" s="197"/>
      <c r="L51" s="185"/>
      <c r="M51" s="186"/>
      <c r="N51" s="187"/>
      <c r="O51" s="198">
        <v>1244</v>
      </c>
      <c r="P51" s="199"/>
      <c r="V51" s="184" t="s">
        <v>2587</v>
      </c>
    </row>
    <row r="52" spans="1:22" ht="16.5" customHeight="1" x14ac:dyDescent="0.2">
      <c r="A52" s="193">
        <v>16</v>
      </c>
      <c r="B52" s="184">
        <v>7838</v>
      </c>
      <c r="C52" s="210" t="s">
        <v>2780</v>
      </c>
      <c r="D52" s="288"/>
      <c r="E52" s="287"/>
      <c r="F52" s="194"/>
      <c r="G52" s="189"/>
      <c r="H52" s="190"/>
      <c r="I52" s="214" t="s">
        <v>396</v>
      </c>
      <c r="J52" s="215" t="s">
        <v>397</v>
      </c>
      <c r="K52" s="197">
        <v>1</v>
      </c>
      <c r="L52" s="185"/>
      <c r="M52" s="186"/>
      <c r="N52" s="187"/>
      <c r="O52" s="198">
        <v>1244</v>
      </c>
      <c r="P52" s="199"/>
      <c r="V52" s="184" t="s">
        <v>2588</v>
      </c>
    </row>
    <row r="53" spans="1:22" ht="16.5" customHeight="1" x14ac:dyDescent="0.2">
      <c r="A53" s="193">
        <v>16</v>
      </c>
      <c r="B53" s="184">
        <v>7839</v>
      </c>
      <c r="C53" s="210" t="s">
        <v>2781</v>
      </c>
      <c r="D53" s="288"/>
      <c r="E53" s="287"/>
      <c r="F53" s="262" t="s">
        <v>398</v>
      </c>
      <c r="G53" s="216" t="s">
        <v>397</v>
      </c>
      <c r="H53" s="201">
        <v>0.9</v>
      </c>
      <c r="I53" s="226"/>
      <c r="J53" s="196"/>
      <c r="K53" s="197"/>
      <c r="L53" s="185"/>
      <c r="M53" s="186"/>
      <c r="N53" s="187"/>
      <c r="O53" s="198">
        <v>1119</v>
      </c>
      <c r="P53" s="199"/>
      <c r="V53" s="184" t="s">
        <v>2589</v>
      </c>
    </row>
    <row r="54" spans="1:22" ht="16.5" customHeight="1" x14ac:dyDescent="0.2">
      <c r="A54" s="193">
        <v>16</v>
      </c>
      <c r="B54" s="184">
        <v>7840</v>
      </c>
      <c r="C54" s="210" t="s">
        <v>2782</v>
      </c>
      <c r="D54" s="218">
        <v>829</v>
      </c>
      <c r="E54" s="227" t="s">
        <v>394</v>
      </c>
      <c r="F54" s="292"/>
      <c r="G54" s="189"/>
      <c r="H54" s="190"/>
      <c r="I54" s="214" t="s">
        <v>396</v>
      </c>
      <c r="J54" s="215" t="s">
        <v>397</v>
      </c>
      <c r="K54" s="197">
        <v>1</v>
      </c>
      <c r="L54" s="185"/>
      <c r="M54" s="186"/>
      <c r="N54" s="187"/>
      <c r="O54" s="198">
        <v>1119</v>
      </c>
      <c r="P54" s="199"/>
      <c r="V54" s="184" t="s">
        <v>2590</v>
      </c>
    </row>
    <row r="55" spans="1:22" ht="16.5" customHeight="1" x14ac:dyDescent="0.2">
      <c r="A55" s="193">
        <v>16</v>
      </c>
      <c r="B55" s="184">
        <v>7841</v>
      </c>
      <c r="C55" s="210" t="s">
        <v>2783</v>
      </c>
      <c r="D55" s="264" t="s">
        <v>1969</v>
      </c>
      <c r="E55" s="290"/>
      <c r="F55" s="202"/>
      <c r="G55" s="200"/>
      <c r="H55" s="201"/>
      <c r="I55" s="226"/>
      <c r="J55" s="196"/>
      <c r="K55" s="197"/>
      <c r="L55" s="185"/>
      <c r="M55" s="186"/>
      <c r="N55" s="187"/>
      <c r="O55" s="198">
        <v>1347</v>
      </c>
      <c r="P55" s="199"/>
      <c r="V55" s="184" t="s">
        <v>2591</v>
      </c>
    </row>
    <row r="56" spans="1:22" ht="16.5" customHeight="1" x14ac:dyDescent="0.2">
      <c r="A56" s="193">
        <v>16</v>
      </c>
      <c r="B56" s="184">
        <v>7842</v>
      </c>
      <c r="C56" s="210" t="s">
        <v>2784</v>
      </c>
      <c r="D56" s="288"/>
      <c r="E56" s="287"/>
      <c r="F56" s="194"/>
      <c r="G56" s="189"/>
      <c r="H56" s="190"/>
      <c r="I56" s="214" t="s">
        <v>396</v>
      </c>
      <c r="J56" s="215" t="s">
        <v>397</v>
      </c>
      <c r="K56" s="197">
        <v>1</v>
      </c>
      <c r="L56" s="185"/>
      <c r="M56" s="186"/>
      <c r="N56" s="187"/>
      <c r="O56" s="198">
        <v>1347</v>
      </c>
      <c r="P56" s="199"/>
      <c r="V56" s="184" t="s">
        <v>2592</v>
      </c>
    </row>
    <row r="57" spans="1:22" ht="16.5" customHeight="1" x14ac:dyDescent="0.2">
      <c r="A57" s="193">
        <v>16</v>
      </c>
      <c r="B57" s="184">
        <v>7843</v>
      </c>
      <c r="C57" s="210" t="s">
        <v>2785</v>
      </c>
      <c r="D57" s="288"/>
      <c r="E57" s="287"/>
      <c r="F57" s="262" t="s">
        <v>398</v>
      </c>
      <c r="G57" s="216" t="s">
        <v>397</v>
      </c>
      <c r="H57" s="201">
        <v>0.9</v>
      </c>
      <c r="I57" s="226"/>
      <c r="J57" s="196"/>
      <c r="K57" s="197"/>
      <c r="L57" s="185"/>
      <c r="M57" s="186"/>
      <c r="N57" s="187"/>
      <c r="O57" s="198">
        <v>1212</v>
      </c>
      <c r="P57" s="199"/>
      <c r="V57" s="184" t="s">
        <v>2593</v>
      </c>
    </row>
    <row r="58" spans="1:22" ht="16.5" customHeight="1" x14ac:dyDescent="0.2">
      <c r="A58" s="193">
        <v>16</v>
      </c>
      <c r="B58" s="184">
        <v>7844</v>
      </c>
      <c r="C58" s="210" t="s">
        <v>2786</v>
      </c>
      <c r="D58" s="220">
        <v>898</v>
      </c>
      <c r="E58" s="228" t="s">
        <v>394</v>
      </c>
      <c r="F58" s="292"/>
      <c r="G58" s="189"/>
      <c r="H58" s="190"/>
      <c r="I58" s="214" t="s">
        <v>396</v>
      </c>
      <c r="J58" s="215" t="s">
        <v>397</v>
      </c>
      <c r="K58" s="197">
        <v>1</v>
      </c>
      <c r="L58" s="194"/>
      <c r="M58" s="189"/>
      <c r="N58" s="190"/>
      <c r="O58" s="198">
        <v>1212</v>
      </c>
      <c r="P58" s="205"/>
      <c r="V58" s="184" t="s">
        <v>2794</v>
      </c>
    </row>
    <row r="59" spans="1:22" ht="16.5" customHeight="1" x14ac:dyDescent="0.2"/>
    <row r="60" spans="1:22" ht="16.5" customHeight="1" x14ac:dyDescent="0.2"/>
  </sheetData>
  <mergeCells count="28">
    <mergeCell ref="D55:E57"/>
    <mergeCell ref="F57:F58"/>
    <mergeCell ref="D43:E45"/>
    <mergeCell ref="N44:N45"/>
    <mergeCell ref="F45:F46"/>
    <mergeCell ref="D47:E49"/>
    <mergeCell ref="F49:F50"/>
    <mergeCell ref="D51:E53"/>
    <mergeCell ref="F53:F54"/>
    <mergeCell ref="D31:E33"/>
    <mergeCell ref="F33:F34"/>
    <mergeCell ref="D35:E37"/>
    <mergeCell ref="F37:F38"/>
    <mergeCell ref="D39:E41"/>
    <mergeCell ref="F41:F42"/>
    <mergeCell ref="D19:E21"/>
    <mergeCell ref="F21:F22"/>
    <mergeCell ref="D23:E25"/>
    <mergeCell ref="F25:F26"/>
    <mergeCell ref="D27:E29"/>
    <mergeCell ref="F29:F30"/>
    <mergeCell ref="D15:E17"/>
    <mergeCell ref="F17:F18"/>
    <mergeCell ref="D7:E9"/>
    <mergeCell ref="N8:N9"/>
    <mergeCell ref="F9:F10"/>
    <mergeCell ref="D11:E13"/>
    <mergeCell ref="F13:F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9"/>
  <sheetViews>
    <sheetView workbookViewId="0"/>
  </sheetViews>
  <sheetFormatPr defaultColWidth="8.90625" defaultRowHeight="14" x14ac:dyDescent="0.2"/>
  <cols>
    <col min="1" max="1" width="4.6328125" style="22" customWidth="1"/>
    <col min="2" max="2" width="7.6328125" style="22" customWidth="1"/>
    <col min="3" max="3" width="29.6328125" style="23" customWidth="1"/>
    <col min="4" max="4" width="11.08984375" style="23" customWidth="1"/>
    <col min="5" max="5" width="7.6328125" style="26" customWidth="1"/>
    <col min="6" max="6" width="10.6328125" style="25" customWidth="1"/>
    <col min="7" max="7" width="22.6328125" style="25" customWidth="1"/>
    <col min="8" max="8" width="4.453125" style="26" customWidth="1"/>
    <col min="9" max="9" width="8.26953125" style="25" customWidth="1"/>
    <col min="10" max="10" width="7.08984375" style="125" customWidth="1"/>
    <col min="11" max="11" width="8.6328125" style="29" customWidth="1"/>
    <col min="12" max="16384" width="8.90625" style="25"/>
  </cols>
  <sheetData>
    <row r="1" spans="1:11" ht="17.149999999999999" customHeight="1" x14ac:dyDescent="0.2"/>
    <row r="2" spans="1:11" ht="17.149999999999999" customHeight="1" x14ac:dyDescent="0.2"/>
    <row r="3" spans="1:11" ht="17.149999999999999" customHeight="1" x14ac:dyDescent="0.2"/>
    <row r="4" spans="1:11" ht="17.149999999999999" customHeight="1" x14ac:dyDescent="0.2">
      <c r="B4" s="30"/>
      <c r="D4" s="65"/>
    </row>
    <row r="5" spans="1:11" ht="16.5" customHeight="1" x14ac:dyDescent="0.2">
      <c r="A5" s="153" t="s">
        <v>415</v>
      </c>
      <c r="B5" s="154"/>
      <c r="C5" s="155" t="s">
        <v>416</v>
      </c>
      <c r="D5" s="293" t="s">
        <v>417</v>
      </c>
      <c r="E5" s="294"/>
      <c r="F5" s="294"/>
      <c r="G5" s="294"/>
      <c r="H5" s="294"/>
      <c r="I5" s="295"/>
      <c r="J5" s="156" t="s">
        <v>418</v>
      </c>
      <c r="K5" s="156" t="s">
        <v>419</v>
      </c>
    </row>
    <row r="6" spans="1:11" ht="16.5" customHeight="1" x14ac:dyDescent="0.2">
      <c r="A6" s="157" t="s">
        <v>420</v>
      </c>
      <c r="B6" s="158" t="s">
        <v>421</v>
      </c>
      <c r="C6" s="159"/>
      <c r="D6" s="160"/>
      <c r="E6" s="161"/>
      <c r="F6" s="161"/>
      <c r="G6" s="161"/>
      <c r="H6" s="161"/>
      <c r="I6" s="161"/>
      <c r="J6" s="162" t="s">
        <v>393</v>
      </c>
      <c r="K6" s="162" t="s">
        <v>394</v>
      </c>
    </row>
    <row r="7" spans="1:11" ht="16.5" customHeight="1" x14ac:dyDescent="0.2">
      <c r="A7" s="165">
        <v>16</v>
      </c>
      <c r="B7" s="166">
        <v>5010</v>
      </c>
      <c r="C7" s="168" t="s">
        <v>1921</v>
      </c>
      <c r="D7" s="296" t="s">
        <v>424</v>
      </c>
      <c r="E7" s="297"/>
      <c r="F7" s="163" t="s">
        <v>423</v>
      </c>
      <c r="G7" s="163"/>
      <c r="H7" s="169">
        <v>150</v>
      </c>
      <c r="I7" s="164" t="s">
        <v>422</v>
      </c>
      <c r="J7" s="167">
        <f t="shared" ref="J7" si="0">ROUND(H7,0)</f>
        <v>150</v>
      </c>
      <c r="K7" s="182" t="s">
        <v>1920</v>
      </c>
    </row>
    <row r="8" spans="1:11" ht="14.25" customHeight="1" x14ac:dyDescent="0.2"/>
    <row r="9" spans="1:11" ht="16.5" customHeight="1" x14ac:dyDescent="0.2"/>
  </sheetData>
  <mergeCells count="2">
    <mergeCell ref="D5:I5"/>
    <mergeCell ref="D7:E7"/>
  </mergeCells>
  <phoneticPr fontId="1"/>
  <printOptions horizontalCentered="1"/>
  <pageMargins left="0.70866141732283505" right="0.70866141732283505" top="0.74803149606299202" bottom="0.74803149606299202" header="0.31496062992126" footer="0.31496062992126"/>
  <pageSetup paperSize="9" scale="72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94"/>
  <sheetViews>
    <sheetView workbookViewId="0"/>
  </sheetViews>
  <sheetFormatPr defaultColWidth="9" defaultRowHeight="13" x14ac:dyDescent="0.2"/>
  <cols>
    <col min="1" max="1" width="9" style="1"/>
    <col min="2" max="2" width="52.36328125" style="1" customWidth="1"/>
    <col min="3" max="3" width="8.453125" style="1" customWidth="1"/>
    <col min="4" max="16384" width="9" style="1"/>
  </cols>
  <sheetData>
    <row r="1" spans="1:3" x14ac:dyDescent="0.2">
      <c r="B1" s="1" t="s">
        <v>425</v>
      </c>
    </row>
    <row r="3" spans="1:3" x14ac:dyDescent="0.2">
      <c r="A3" s="2" t="s">
        <v>1</v>
      </c>
      <c r="B3" s="2" t="s">
        <v>426</v>
      </c>
      <c r="C3" s="4" t="s">
        <v>3</v>
      </c>
    </row>
    <row r="4" spans="1:3" x14ac:dyDescent="0.2">
      <c r="A4" s="2">
        <v>1</v>
      </c>
      <c r="B4" s="2" t="s">
        <v>427</v>
      </c>
      <c r="C4" s="170">
        <v>191</v>
      </c>
    </row>
    <row r="5" spans="1:3" x14ac:dyDescent="0.2">
      <c r="A5" s="2">
        <v>2</v>
      </c>
      <c r="B5" s="2" t="s">
        <v>428</v>
      </c>
      <c r="C5" s="170">
        <v>302</v>
      </c>
    </row>
    <row r="6" spans="1:3" x14ac:dyDescent="0.2">
      <c r="A6" s="2">
        <v>3</v>
      </c>
      <c r="B6" s="2" t="s">
        <v>429</v>
      </c>
      <c r="C6" s="170">
        <v>436</v>
      </c>
    </row>
    <row r="7" spans="1:3" x14ac:dyDescent="0.2">
      <c r="A7" s="2">
        <v>4</v>
      </c>
      <c r="B7" s="2" t="s">
        <v>430</v>
      </c>
      <c r="C7" s="170">
        <v>501</v>
      </c>
    </row>
    <row r="8" spans="1:3" x14ac:dyDescent="0.2">
      <c r="A8" s="2">
        <v>5</v>
      </c>
      <c r="B8" s="2" t="s">
        <v>431</v>
      </c>
      <c r="C8" s="170">
        <v>566</v>
      </c>
    </row>
    <row r="9" spans="1:3" x14ac:dyDescent="0.2">
      <c r="A9" s="2">
        <v>6</v>
      </c>
      <c r="B9" s="2" t="s">
        <v>432</v>
      </c>
      <c r="C9" s="170">
        <v>632</v>
      </c>
    </row>
    <row r="10" spans="1:3" x14ac:dyDescent="0.2">
      <c r="A10" s="2">
        <v>7</v>
      </c>
      <c r="B10" s="2" t="s">
        <v>433</v>
      </c>
      <c r="C10" s="170">
        <v>697</v>
      </c>
    </row>
    <row r="11" spans="1:3" x14ac:dyDescent="0.2">
      <c r="A11" s="2">
        <v>8</v>
      </c>
      <c r="B11" s="2" t="s">
        <v>434</v>
      </c>
      <c r="C11" s="170">
        <v>763</v>
      </c>
    </row>
    <row r="12" spans="1:3" x14ac:dyDescent="0.2">
      <c r="A12" s="2">
        <v>9</v>
      </c>
      <c r="B12" s="2" t="s">
        <v>435</v>
      </c>
      <c r="C12" s="170">
        <v>829</v>
      </c>
    </row>
    <row r="13" spans="1:3" x14ac:dyDescent="0.2">
      <c r="A13" s="2">
        <v>10</v>
      </c>
      <c r="B13" s="2" t="s">
        <v>436</v>
      </c>
      <c r="C13" s="170">
        <v>895</v>
      </c>
    </row>
    <row r="14" spans="1:3" x14ac:dyDescent="0.2">
      <c r="A14" s="2">
        <v>11</v>
      </c>
      <c r="B14" s="2" t="s">
        <v>437</v>
      </c>
      <c r="C14" s="170">
        <v>961</v>
      </c>
    </row>
    <row r="15" spans="1:3" x14ac:dyDescent="0.2">
      <c r="A15" s="2">
        <v>12</v>
      </c>
      <c r="B15" s="2" t="s">
        <v>438</v>
      </c>
      <c r="C15" s="170">
        <v>1027</v>
      </c>
    </row>
    <row r="16" spans="1:3" x14ac:dyDescent="0.2">
      <c r="A16" s="2">
        <v>13</v>
      </c>
      <c r="B16" s="2" t="s">
        <v>439</v>
      </c>
      <c r="C16" s="170">
        <v>1093</v>
      </c>
    </row>
    <row r="17" spans="1:3" x14ac:dyDescent="0.2">
      <c r="A17" s="2">
        <v>14</v>
      </c>
      <c r="B17" s="2" t="s">
        <v>440</v>
      </c>
      <c r="C17" s="170">
        <v>1159</v>
      </c>
    </row>
    <row r="18" spans="1:3" x14ac:dyDescent="0.2">
      <c r="A18" s="2">
        <v>15</v>
      </c>
      <c r="B18" s="2" t="s">
        <v>441</v>
      </c>
      <c r="C18" s="170">
        <v>1225</v>
      </c>
    </row>
    <row r="19" spans="1:3" x14ac:dyDescent="0.2">
      <c r="A19" s="2">
        <v>16</v>
      </c>
      <c r="B19" s="2" t="s">
        <v>442</v>
      </c>
      <c r="C19" s="170">
        <v>1291</v>
      </c>
    </row>
    <row r="20" spans="1:3" x14ac:dyDescent="0.2">
      <c r="A20" s="2">
        <v>17</v>
      </c>
      <c r="B20" s="2" t="s">
        <v>443</v>
      </c>
      <c r="C20" s="170">
        <v>1357</v>
      </c>
    </row>
    <row r="21" spans="1:3" x14ac:dyDescent="0.2">
      <c r="A21" s="2">
        <v>18</v>
      </c>
      <c r="B21" s="2" t="s">
        <v>444</v>
      </c>
      <c r="C21" s="170">
        <v>1423</v>
      </c>
    </row>
    <row r="22" spans="1:3" x14ac:dyDescent="0.2">
      <c r="A22" s="2">
        <v>19</v>
      </c>
      <c r="B22" s="2" t="s">
        <v>445</v>
      </c>
      <c r="C22" s="170">
        <v>1489</v>
      </c>
    </row>
    <row r="23" spans="1:3" x14ac:dyDescent="0.2">
      <c r="A23" s="2">
        <v>20</v>
      </c>
      <c r="B23" s="2" t="s">
        <v>446</v>
      </c>
      <c r="C23" s="170">
        <v>1555</v>
      </c>
    </row>
    <row r="24" spans="1:3" x14ac:dyDescent="0.2">
      <c r="A24" s="2">
        <v>21</v>
      </c>
      <c r="B24" s="2" t="s">
        <v>447</v>
      </c>
      <c r="C24" s="170">
        <v>1621</v>
      </c>
    </row>
    <row r="25" spans="1:3" x14ac:dyDescent="0.2">
      <c r="A25" s="2">
        <v>22</v>
      </c>
      <c r="B25" s="2" t="s">
        <v>448</v>
      </c>
      <c r="C25" s="170">
        <v>66</v>
      </c>
    </row>
    <row r="26" spans="1:3" x14ac:dyDescent="0.2">
      <c r="A26" s="2">
        <v>23</v>
      </c>
      <c r="B26" s="2" t="s">
        <v>449</v>
      </c>
      <c r="C26" s="170">
        <v>132</v>
      </c>
    </row>
    <row r="27" spans="1:3" x14ac:dyDescent="0.2">
      <c r="A27" s="2">
        <v>24</v>
      </c>
      <c r="B27" s="2" t="s">
        <v>450</v>
      </c>
      <c r="C27" s="170">
        <v>198</v>
      </c>
    </row>
    <row r="28" spans="1:3" x14ac:dyDescent="0.2">
      <c r="A28" s="2">
        <v>25</v>
      </c>
      <c r="B28" s="2" t="s">
        <v>451</v>
      </c>
      <c r="C28" s="170">
        <v>264</v>
      </c>
    </row>
    <row r="29" spans="1:3" x14ac:dyDescent="0.2">
      <c r="A29" s="2">
        <v>26</v>
      </c>
      <c r="B29" s="2" t="s">
        <v>452</v>
      </c>
      <c r="C29" s="170">
        <v>330</v>
      </c>
    </row>
    <row r="30" spans="1:3" x14ac:dyDescent="0.2">
      <c r="A30" s="2">
        <v>27</v>
      </c>
      <c r="B30" s="2" t="s">
        <v>453</v>
      </c>
      <c r="C30" s="170">
        <v>396</v>
      </c>
    </row>
    <row r="31" spans="1:3" x14ac:dyDescent="0.2">
      <c r="A31" s="2">
        <v>28</v>
      </c>
      <c r="B31" s="2" t="s">
        <v>454</v>
      </c>
      <c r="C31" s="170">
        <v>462</v>
      </c>
    </row>
    <row r="32" spans="1:3" x14ac:dyDescent="0.2">
      <c r="A32" s="2">
        <v>29</v>
      </c>
      <c r="B32" s="2" t="s">
        <v>455</v>
      </c>
      <c r="C32" s="170">
        <v>528</v>
      </c>
    </row>
    <row r="33" spans="1:3" x14ac:dyDescent="0.2">
      <c r="A33" s="2">
        <v>30</v>
      </c>
      <c r="B33" s="2" t="s">
        <v>456</v>
      </c>
      <c r="C33" s="170">
        <v>594</v>
      </c>
    </row>
    <row r="34" spans="1:3" x14ac:dyDescent="0.2">
      <c r="A34" s="2">
        <v>31</v>
      </c>
      <c r="B34" s="2" t="s">
        <v>457</v>
      </c>
      <c r="C34" s="170">
        <v>660</v>
      </c>
    </row>
    <row r="35" spans="1:3" x14ac:dyDescent="0.2">
      <c r="A35" s="2">
        <v>32</v>
      </c>
      <c r="B35" s="2" t="s">
        <v>458</v>
      </c>
      <c r="C35" s="170">
        <v>726</v>
      </c>
    </row>
    <row r="36" spans="1:3" x14ac:dyDescent="0.2">
      <c r="A36" s="2">
        <v>33</v>
      </c>
      <c r="B36" s="2" t="s">
        <v>459</v>
      </c>
      <c r="C36" s="170">
        <v>792</v>
      </c>
    </row>
    <row r="37" spans="1:3" x14ac:dyDescent="0.2">
      <c r="A37" s="2">
        <v>34</v>
      </c>
      <c r="B37" s="2" t="s">
        <v>460</v>
      </c>
      <c r="C37" s="170">
        <v>858</v>
      </c>
    </row>
    <row r="38" spans="1:3" x14ac:dyDescent="0.2">
      <c r="A38" s="2">
        <v>35</v>
      </c>
      <c r="B38" s="2" t="s">
        <v>461</v>
      </c>
      <c r="C38" s="170">
        <v>924</v>
      </c>
    </row>
    <row r="39" spans="1:3" x14ac:dyDescent="0.2">
      <c r="A39" s="2">
        <v>36</v>
      </c>
      <c r="B39" s="2" t="s">
        <v>462</v>
      </c>
      <c r="C39" s="170">
        <v>990</v>
      </c>
    </row>
    <row r="40" spans="1:3" x14ac:dyDescent="0.2">
      <c r="A40" s="2">
        <v>37</v>
      </c>
      <c r="B40" s="2" t="s">
        <v>463</v>
      </c>
      <c r="C40" s="170">
        <v>1056</v>
      </c>
    </row>
    <row r="41" spans="1:3" x14ac:dyDescent="0.2">
      <c r="A41" s="2">
        <v>38</v>
      </c>
      <c r="B41" s="2" t="s">
        <v>464</v>
      </c>
      <c r="C41" s="170">
        <v>1122</v>
      </c>
    </row>
    <row r="42" spans="1:3" x14ac:dyDescent="0.2">
      <c r="A42" s="2">
        <v>39</v>
      </c>
      <c r="B42" s="2" t="s">
        <v>465</v>
      </c>
      <c r="C42" s="170">
        <v>1188</v>
      </c>
    </row>
    <row r="43" spans="1:3" x14ac:dyDescent="0.2">
      <c r="A43" s="2">
        <v>40</v>
      </c>
      <c r="B43" s="2" t="s">
        <v>466</v>
      </c>
      <c r="C43" s="170">
        <v>1254</v>
      </c>
    </row>
    <row r="44" spans="1:3" x14ac:dyDescent="0.2">
      <c r="A44" s="2">
        <v>41</v>
      </c>
      <c r="B44" s="2" t="s">
        <v>467</v>
      </c>
      <c r="C44" s="170">
        <v>1320</v>
      </c>
    </row>
    <row r="45" spans="1:3" x14ac:dyDescent="0.2">
      <c r="A45" s="2">
        <v>42</v>
      </c>
      <c r="B45" s="2" t="s">
        <v>468</v>
      </c>
      <c r="C45" s="170">
        <v>1386</v>
      </c>
    </row>
    <row r="46" spans="1:3" x14ac:dyDescent="0.2">
      <c r="A46" s="2">
        <v>43</v>
      </c>
      <c r="B46" s="2" t="s">
        <v>469</v>
      </c>
      <c r="C46" s="170">
        <v>111</v>
      </c>
    </row>
    <row r="47" spans="1:3" x14ac:dyDescent="0.2">
      <c r="A47" s="2">
        <v>44</v>
      </c>
      <c r="B47" s="2" t="s">
        <v>470</v>
      </c>
      <c r="C47" s="170">
        <v>245</v>
      </c>
    </row>
    <row r="48" spans="1:3" x14ac:dyDescent="0.2">
      <c r="A48" s="2">
        <v>45</v>
      </c>
      <c r="B48" s="2" t="s">
        <v>471</v>
      </c>
      <c r="C48" s="170">
        <v>310</v>
      </c>
    </row>
    <row r="49" spans="1:3" x14ac:dyDescent="0.2">
      <c r="A49" s="2">
        <v>46</v>
      </c>
      <c r="B49" s="2" t="s">
        <v>472</v>
      </c>
      <c r="C49" s="170">
        <v>375</v>
      </c>
    </row>
    <row r="50" spans="1:3" x14ac:dyDescent="0.2">
      <c r="A50" s="2">
        <v>47</v>
      </c>
      <c r="B50" s="2" t="s">
        <v>473</v>
      </c>
      <c r="C50" s="170">
        <v>441</v>
      </c>
    </row>
    <row r="51" spans="1:3" x14ac:dyDescent="0.2">
      <c r="A51" s="2">
        <v>48</v>
      </c>
      <c r="B51" s="2" t="s">
        <v>474</v>
      </c>
      <c r="C51" s="170">
        <v>134</v>
      </c>
    </row>
    <row r="52" spans="1:3" x14ac:dyDescent="0.2">
      <c r="A52" s="2">
        <v>49</v>
      </c>
      <c r="B52" s="2" t="s">
        <v>475</v>
      </c>
      <c r="C52" s="170">
        <v>199</v>
      </c>
    </row>
    <row r="53" spans="1:3" x14ac:dyDescent="0.2">
      <c r="A53" s="2">
        <v>50</v>
      </c>
      <c r="B53" s="2" t="s">
        <v>476</v>
      </c>
      <c r="C53" s="170">
        <v>264</v>
      </c>
    </row>
    <row r="54" spans="1:3" x14ac:dyDescent="0.2">
      <c r="A54" s="2">
        <v>51</v>
      </c>
      <c r="B54" s="2" t="s">
        <v>477</v>
      </c>
      <c r="C54" s="170">
        <v>330</v>
      </c>
    </row>
    <row r="55" spans="1:3" x14ac:dyDescent="0.2">
      <c r="A55" s="2">
        <v>52</v>
      </c>
      <c r="B55" s="2" t="s">
        <v>478</v>
      </c>
      <c r="C55" s="170">
        <v>65</v>
      </c>
    </row>
    <row r="56" spans="1:3" x14ac:dyDescent="0.2">
      <c r="A56" s="2">
        <v>53</v>
      </c>
      <c r="B56" s="2" t="s">
        <v>479</v>
      </c>
      <c r="C56" s="170">
        <v>130</v>
      </c>
    </row>
    <row r="57" spans="1:3" x14ac:dyDescent="0.2">
      <c r="A57" s="2">
        <v>54</v>
      </c>
      <c r="B57" s="2" t="s">
        <v>480</v>
      </c>
      <c r="C57" s="170">
        <v>196</v>
      </c>
    </row>
    <row r="58" spans="1:3" x14ac:dyDescent="0.2">
      <c r="A58" s="2">
        <v>55</v>
      </c>
      <c r="B58" s="2" t="s">
        <v>481</v>
      </c>
      <c r="C58" s="170">
        <v>65</v>
      </c>
    </row>
    <row r="59" spans="1:3" x14ac:dyDescent="0.2">
      <c r="A59" s="2">
        <v>56</v>
      </c>
      <c r="B59" s="2" t="s">
        <v>482</v>
      </c>
      <c r="C59" s="170">
        <v>131</v>
      </c>
    </row>
    <row r="60" spans="1:3" x14ac:dyDescent="0.2">
      <c r="A60" s="2">
        <v>57</v>
      </c>
      <c r="B60" s="2" t="s">
        <v>483</v>
      </c>
      <c r="C60" s="170">
        <v>66</v>
      </c>
    </row>
    <row r="61" spans="1:3" x14ac:dyDescent="0.2">
      <c r="A61" s="2">
        <v>58</v>
      </c>
      <c r="B61" s="2" t="s">
        <v>484</v>
      </c>
      <c r="C61" s="170">
        <v>134</v>
      </c>
    </row>
    <row r="62" spans="1:3" x14ac:dyDescent="0.2">
      <c r="A62" s="2">
        <v>59</v>
      </c>
      <c r="B62" s="2" t="s">
        <v>485</v>
      </c>
      <c r="C62" s="170">
        <v>199</v>
      </c>
    </row>
    <row r="63" spans="1:3" x14ac:dyDescent="0.2">
      <c r="A63" s="2">
        <v>60</v>
      </c>
      <c r="B63" s="2" t="s">
        <v>486</v>
      </c>
      <c r="C63" s="170">
        <v>264</v>
      </c>
    </row>
    <row r="64" spans="1:3" x14ac:dyDescent="0.2">
      <c r="A64" s="2">
        <v>61</v>
      </c>
      <c r="B64" s="2" t="s">
        <v>487</v>
      </c>
      <c r="C64" s="170">
        <v>330</v>
      </c>
    </row>
    <row r="65" spans="1:3" x14ac:dyDescent="0.2">
      <c r="A65" s="2">
        <v>62</v>
      </c>
      <c r="B65" s="2" t="s">
        <v>488</v>
      </c>
      <c r="C65" s="170">
        <v>65</v>
      </c>
    </row>
    <row r="66" spans="1:3" x14ac:dyDescent="0.2">
      <c r="A66" s="2">
        <v>63</v>
      </c>
      <c r="B66" s="2" t="s">
        <v>489</v>
      </c>
      <c r="C66" s="170">
        <v>130</v>
      </c>
    </row>
    <row r="67" spans="1:3" x14ac:dyDescent="0.2">
      <c r="A67" s="2">
        <v>64</v>
      </c>
      <c r="B67" s="2" t="s">
        <v>490</v>
      </c>
      <c r="C67" s="170">
        <v>196</v>
      </c>
    </row>
    <row r="68" spans="1:3" x14ac:dyDescent="0.2">
      <c r="A68" s="2">
        <v>65</v>
      </c>
      <c r="B68" s="2" t="s">
        <v>491</v>
      </c>
      <c r="C68" s="170">
        <v>65</v>
      </c>
    </row>
    <row r="69" spans="1:3" x14ac:dyDescent="0.2">
      <c r="A69" s="2">
        <v>66</v>
      </c>
      <c r="B69" s="2" t="s">
        <v>492</v>
      </c>
      <c r="C69" s="170">
        <v>131</v>
      </c>
    </row>
    <row r="70" spans="1:3" x14ac:dyDescent="0.2">
      <c r="A70" s="2">
        <v>67</v>
      </c>
      <c r="B70" s="2" t="s">
        <v>493</v>
      </c>
      <c r="C70" s="170">
        <v>66</v>
      </c>
    </row>
    <row r="71" spans="1:3" x14ac:dyDescent="0.2">
      <c r="A71" s="2">
        <v>68</v>
      </c>
      <c r="B71" s="2" t="s">
        <v>494</v>
      </c>
      <c r="C71" s="170">
        <v>65</v>
      </c>
    </row>
    <row r="72" spans="1:3" x14ac:dyDescent="0.2">
      <c r="A72" s="2">
        <v>69</v>
      </c>
      <c r="B72" s="2" t="s">
        <v>495</v>
      </c>
      <c r="C72" s="170">
        <v>130</v>
      </c>
    </row>
    <row r="73" spans="1:3" x14ac:dyDescent="0.2">
      <c r="A73" s="2">
        <v>70</v>
      </c>
      <c r="B73" s="2" t="s">
        <v>496</v>
      </c>
      <c r="C73" s="170">
        <v>196</v>
      </c>
    </row>
    <row r="74" spans="1:3" x14ac:dyDescent="0.2">
      <c r="A74" s="2">
        <v>71</v>
      </c>
      <c r="B74" s="2" t="s">
        <v>497</v>
      </c>
      <c r="C74" s="170">
        <v>65</v>
      </c>
    </row>
    <row r="75" spans="1:3" x14ac:dyDescent="0.2">
      <c r="A75" s="2">
        <v>72</v>
      </c>
      <c r="B75" s="2" t="s">
        <v>498</v>
      </c>
      <c r="C75" s="170">
        <v>131</v>
      </c>
    </row>
    <row r="76" spans="1:3" x14ac:dyDescent="0.2">
      <c r="A76" s="2">
        <v>73</v>
      </c>
      <c r="B76" s="2" t="s">
        <v>499</v>
      </c>
      <c r="C76" s="170">
        <v>66</v>
      </c>
    </row>
    <row r="77" spans="1:3" x14ac:dyDescent="0.2">
      <c r="A77" s="2">
        <v>74</v>
      </c>
      <c r="B77" s="2" t="s">
        <v>500</v>
      </c>
      <c r="C77" s="170">
        <v>65</v>
      </c>
    </row>
    <row r="78" spans="1:3" x14ac:dyDescent="0.2">
      <c r="A78" s="2">
        <v>75</v>
      </c>
      <c r="B78" s="2" t="s">
        <v>501</v>
      </c>
      <c r="C78" s="170">
        <v>131</v>
      </c>
    </row>
    <row r="79" spans="1:3" x14ac:dyDescent="0.2">
      <c r="A79" s="2">
        <v>76</v>
      </c>
      <c r="B79" s="2" t="s">
        <v>502</v>
      </c>
      <c r="C79" s="170">
        <v>66</v>
      </c>
    </row>
    <row r="80" spans="1:3" x14ac:dyDescent="0.2">
      <c r="A80" s="2">
        <v>77</v>
      </c>
      <c r="B80" s="2" t="s">
        <v>503</v>
      </c>
      <c r="C80" s="170">
        <v>66</v>
      </c>
    </row>
    <row r="81" spans="1:7" x14ac:dyDescent="0.2">
      <c r="A81" s="2">
        <v>78</v>
      </c>
      <c r="B81" s="2" t="s">
        <v>504</v>
      </c>
      <c r="C81" s="171">
        <v>0.9</v>
      </c>
    </row>
    <row r="82" spans="1:7" x14ac:dyDescent="0.2">
      <c r="A82" s="2">
        <v>79</v>
      </c>
      <c r="B82" s="2" t="s">
        <v>505</v>
      </c>
      <c r="C82" s="171">
        <v>0.9</v>
      </c>
    </row>
    <row r="83" spans="1:7" x14ac:dyDescent="0.2">
      <c r="A83" s="2">
        <v>80</v>
      </c>
      <c r="B83" s="2" t="s">
        <v>506</v>
      </c>
      <c r="C83" s="171">
        <v>1</v>
      </c>
    </row>
    <row r="84" spans="1:7" x14ac:dyDescent="0.2">
      <c r="A84" s="2">
        <v>81</v>
      </c>
      <c r="B84" s="2" t="s">
        <v>507</v>
      </c>
      <c r="C84" s="171">
        <v>0.5</v>
      </c>
    </row>
    <row r="85" spans="1:7" x14ac:dyDescent="0.2">
      <c r="A85" s="2">
        <v>82</v>
      </c>
      <c r="B85" s="2" t="s">
        <v>508</v>
      </c>
      <c r="C85" s="171">
        <v>0.25</v>
      </c>
    </row>
    <row r="86" spans="1:7" x14ac:dyDescent="0.2">
      <c r="A86" s="2">
        <v>83</v>
      </c>
      <c r="B86" s="2" t="s">
        <v>509</v>
      </c>
      <c r="C86" s="171">
        <v>0.25</v>
      </c>
    </row>
    <row r="87" spans="1:7" x14ac:dyDescent="0.2">
      <c r="A87" s="2">
        <v>84</v>
      </c>
      <c r="B87" s="2" t="s">
        <v>510</v>
      </c>
      <c r="C87" s="171">
        <v>0.5</v>
      </c>
    </row>
    <row r="88" spans="1:7" x14ac:dyDescent="0.2">
      <c r="A88" s="2">
        <v>85</v>
      </c>
      <c r="B88" s="2" t="s">
        <v>511</v>
      </c>
      <c r="C88" s="171">
        <v>0.25</v>
      </c>
    </row>
    <row r="89" spans="1:7" x14ac:dyDescent="0.2">
      <c r="A89" s="2">
        <v>86</v>
      </c>
      <c r="B89" s="2" t="s">
        <v>512</v>
      </c>
      <c r="C89" s="171">
        <v>0.25</v>
      </c>
    </row>
    <row r="90" spans="1:7" x14ac:dyDescent="0.2">
      <c r="A90" s="2">
        <v>87</v>
      </c>
      <c r="B90" s="2" t="s">
        <v>513</v>
      </c>
      <c r="C90" s="171">
        <v>0.5</v>
      </c>
    </row>
    <row r="91" spans="1:7" x14ac:dyDescent="0.2">
      <c r="A91" s="2">
        <v>88</v>
      </c>
      <c r="B91" s="2" t="s">
        <v>514</v>
      </c>
      <c r="C91" s="171">
        <v>0.25</v>
      </c>
      <c r="G91"/>
    </row>
    <row r="92" spans="1:7" x14ac:dyDescent="0.2">
      <c r="A92" s="2">
        <v>89</v>
      </c>
      <c r="B92" s="2" t="s">
        <v>515</v>
      </c>
      <c r="C92" s="171">
        <v>0.25</v>
      </c>
    </row>
    <row r="93" spans="1:7" x14ac:dyDescent="0.2">
      <c r="A93" s="2">
        <v>90</v>
      </c>
      <c r="B93" s="2" t="s">
        <v>516</v>
      </c>
      <c r="C93" s="171">
        <v>0.2</v>
      </c>
    </row>
    <row r="94" spans="1:7" x14ac:dyDescent="0.2">
      <c r="A94" s="2">
        <v>91</v>
      </c>
      <c r="B94" s="2" t="s">
        <v>517</v>
      </c>
      <c r="C94" s="171">
        <v>0.4</v>
      </c>
    </row>
  </sheetData>
  <autoFilter ref="A3:B94"/>
  <phoneticPr fontId="1"/>
  <pageMargins left="0.7" right="0.7" top="0.75" bottom="0.75" header="0.3" footer="0.3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60"/>
  <sheetViews>
    <sheetView workbookViewId="0"/>
  </sheetViews>
  <sheetFormatPr defaultColWidth="8.90625" defaultRowHeight="14" x14ac:dyDescent="0.2"/>
  <cols>
    <col min="1" max="1" width="4.6328125" style="22" customWidth="1"/>
    <col min="2" max="2" width="7.6328125" style="22" customWidth="1"/>
    <col min="3" max="3" width="31.90625" style="23" bestFit="1" customWidth="1"/>
    <col min="4" max="4" width="6" style="23" bestFit="1" customWidth="1"/>
    <col min="5" max="5" width="5.36328125" style="90" bestFit="1" customWidth="1"/>
    <col min="6" max="6" width="11.90625" style="25" customWidth="1"/>
    <col min="7" max="7" width="3.453125" style="25" bestFit="1" customWidth="1"/>
    <col min="8" max="8" width="4.453125" style="26" bestFit="1" customWidth="1"/>
    <col min="9" max="9" width="24.90625" style="27" bestFit="1" customWidth="1"/>
    <col min="10" max="10" width="3.453125" style="25" bestFit="1" customWidth="1"/>
    <col min="11" max="11" width="5.453125" style="26" bestFit="1" customWidth="1"/>
    <col min="12" max="12" width="3.453125" style="25" bestFit="1" customWidth="1"/>
    <col min="13" max="13" width="4.453125" style="26" bestFit="1" customWidth="1"/>
    <col min="14" max="14" width="5.36328125" style="25" bestFit="1" customWidth="1"/>
    <col min="15" max="15" width="9.90625" style="25" customWidth="1"/>
    <col min="16" max="16" width="4.453125" style="25" bestFit="1" customWidth="1"/>
    <col min="17" max="17" width="7.08984375" style="28" customWidth="1"/>
    <col min="18" max="18" width="8.6328125" style="29" customWidth="1"/>
    <col min="19" max="16384" width="8.90625" style="25"/>
  </cols>
  <sheetData>
    <row r="1" spans="1:18" ht="17.149999999999999" customHeight="1" x14ac:dyDescent="0.2"/>
    <row r="2" spans="1:18" ht="17.149999999999999" customHeight="1" x14ac:dyDescent="0.2"/>
    <row r="3" spans="1:18" ht="17.149999999999999" customHeight="1" x14ac:dyDescent="0.2"/>
    <row r="4" spans="1:18" ht="17.149999999999999" customHeight="1" x14ac:dyDescent="0.2">
      <c r="B4" s="30" t="s">
        <v>662</v>
      </c>
      <c r="D4" s="65"/>
    </row>
    <row r="5" spans="1:18" ht="16.5" customHeight="1" x14ac:dyDescent="0.2">
      <c r="A5" s="31" t="s">
        <v>386</v>
      </c>
      <c r="B5" s="32"/>
      <c r="C5" s="33" t="s">
        <v>387</v>
      </c>
      <c r="D5" s="34" t="s">
        <v>388</v>
      </c>
      <c r="E5" s="91"/>
      <c r="F5" s="34"/>
      <c r="G5" s="34"/>
      <c r="H5" s="35"/>
      <c r="I5" s="34"/>
      <c r="J5" s="34"/>
      <c r="K5" s="35"/>
      <c r="L5" s="34"/>
      <c r="M5" s="35"/>
      <c r="N5" s="34"/>
      <c r="O5" s="34"/>
      <c r="P5" s="34"/>
      <c r="Q5" s="36" t="s">
        <v>389</v>
      </c>
      <c r="R5" s="33" t="s">
        <v>390</v>
      </c>
    </row>
    <row r="6" spans="1:18" ht="16.5" customHeight="1" x14ac:dyDescent="0.2">
      <c r="A6" s="37" t="s">
        <v>391</v>
      </c>
      <c r="B6" s="37" t="s">
        <v>392</v>
      </c>
      <c r="C6" s="38"/>
      <c r="D6" s="40"/>
      <c r="E6" s="93"/>
      <c r="F6" s="40"/>
      <c r="G6" s="40"/>
      <c r="H6" s="41"/>
      <c r="I6" s="40"/>
      <c r="J6" s="40"/>
      <c r="K6" s="41"/>
      <c r="L6" s="40"/>
      <c r="M6" s="41"/>
      <c r="N6" s="40"/>
      <c r="O6" s="40"/>
      <c r="P6" s="40"/>
      <c r="Q6" s="42" t="s">
        <v>393</v>
      </c>
      <c r="R6" s="43" t="s">
        <v>394</v>
      </c>
    </row>
    <row r="7" spans="1:18" ht="16.5" customHeight="1" x14ac:dyDescent="0.2">
      <c r="A7" s="44">
        <v>16</v>
      </c>
      <c r="B7" s="44">
        <v>3251</v>
      </c>
      <c r="C7" s="45" t="s">
        <v>663</v>
      </c>
      <c r="D7" s="245" t="s">
        <v>1957</v>
      </c>
      <c r="E7" s="246"/>
      <c r="F7" s="47"/>
      <c r="I7" s="48"/>
      <c r="J7" s="49"/>
      <c r="K7" s="50"/>
      <c r="L7" s="67" t="s">
        <v>402</v>
      </c>
      <c r="N7" s="63"/>
      <c r="O7" s="47"/>
      <c r="Q7" s="51">
        <f>ROUND((_11_A通院１０．５*(1+_11・A深夜)),0)</f>
        <v>384</v>
      </c>
      <c r="R7" s="52" t="s">
        <v>395</v>
      </c>
    </row>
    <row r="8" spans="1:18" ht="16.5" customHeight="1" x14ac:dyDescent="0.2">
      <c r="A8" s="44">
        <v>16</v>
      </c>
      <c r="B8" s="53">
        <v>3252</v>
      </c>
      <c r="C8" s="69" t="s">
        <v>664</v>
      </c>
      <c r="D8" s="245"/>
      <c r="E8" s="246"/>
      <c r="F8" s="54"/>
      <c r="G8" s="49"/>
      <c r="H8" s="50"/>
      <c r="I8" s="55" t="s">
        <v>396</v>
      </c>
      <c r="J8" s="56" t="s">
        <v>397</v>
      </c>
      <c r="K8" s="57">
        <v>1</v>
      </c>
      <c r="L8" s="47" t="s">
        <v>397</v>
      </c>
      <c r="M8" s="26">
        <v>0.5</v>
      </c>
      <c r="N8" s="248" t="s">
        <v>400</v>
      </c>
      <c r="O8" s="47"/>
      <c r="Q8" s="58">
        <f>ROUND((ROUND((_11_A通院１０．５*_11・２人),0)*(1+_11・A深夜)),0)</f>
        <v>384</v>
      </c>
      <c r="R8" s="59"/>
    </row>
    <row r="9" spans="1:18" ht="16.5" customHeight="1" x14ac:dyDescent="0.2">
      <c r="A9" s="44">
        <v>16</v>
      </c>
      <c r="B9" s="53">
        <v>3253</v>
      </c>
      <c r="C9" s="69" t="s">
        <v>665</v>
      </c>
      <c r="D9" s="245"/>
      <c r="E9" s="246"/>
      <c r="F9" s="241" t="s">
        <v>398</v>
      </c>
      <c r="G9" s="60" t="s">
        <v>397</v>
      </c>
      <c r="H9" s="61">
        <v>0.7</v>
      </c>
      <c r="I9" s="55"/>
      <c r="J9" s="56"/>
      <c r="K9" s="57"/>
      <c r="L9" s="47"/>
      <c r="N9" s="248"/>
      <c r="O9" s="47"/>
      <c r="Q9" s="58">
        <f>ROUND((ROUND((_11_A通院１０．５*_11・基礎１),0)*(1+_11・A深夜)),0)</f>
        <v>269</v>
      </c>
      <c r="R9" s="59"/>
    </row>
    <row r="10" spans="1:18" ht="16.5" customHeight="1" x14ac:dyDescent="0.2">
      <c r="A10" s="44">
        <v>16</v>
      </c>
      <c r="B10" s="53">
        <v>3254</v>
      </c>
      <c r="C10" s="69" t="s">
        <v>666</v>
      </c>
      <c r="D10" s="84">
        <f>_11_A通院１０．５</f>
        <v>256</v>
      </c>
      <c r="E10" s="25" t="s">
        <v>394</v>
      </c>
      <c r="F10" s="242"/>
      <c r="G10" s="49"/>
      <c r="H10" s="50"/>
      <c r="I10" s="55" t="s">
        <v>396</v>
      </c>
      <c r="J10" s="56" t="s">
        <v>397</v>
      </c>
      <c r="K10" s="57">
        <v>1</v>
      </c>
      <c r="L10" s="47"/>
      <c r="N10" s="63"/>
      <c r="O10" s="54"/>
      <c r="P10" s="49"/>
      <c r="Q10" s="58">
        <f>ROUND((ROUND((ROUND((_11_A通院１０．５*_11・基礎１),0)*_11・２人),0)*(1+_11・A深夜)),0)</f>
        <v>269</v>
      </c>
      <c r="R10" s="59"/>
    </row>
    <row r="11" spans="1:18" ht="16.5" customHeight="1" x14ac:dyDescent="0.2">
      <c r="A11" s="44">
        <v>16</v>
      </c>
      <c r="B11" s="53">
        <v>3255</v>
      </c>
      <c r="C11" s="69" t="s">
        <v>667</v>
      </c>
      <c r="D11" s="243" t="s">
        <v>1958</v>
      </c>
      <c r="E11" s="244"/>
      <c r="F11" s="62"/>
      <c r="G11" s="60"/>
      <c r="H11" s="61"/>
      <c r="I11" s="55"/>
      <c r="J11" s="56"/>
      <c r="K11" s="57"/>
      <c r="L11" s="47"/>
      <c r="N11" s="63"/>
      <c r="O11" s="62"/>
      <c r="P11" s="60"/>
      <c r="Q11" s="58">
        <f>ROUND((_11_A通院１１．０*(1+_11・A深夜)),0)</f>
        <v>606</v>
      </c>
      <c r="R11" s="59"/>
    </row>
    <row r="12" spans="1:18" ht="16.5" customHeight="1" x14ac:dyDescent="0.2">
      <c r="A12" s="44">
        <v>16</v>
      </c>
      <c r="B12" s="53">
        <v>3256</v>
      </c>
      <c r="C12" s="69" t="s">
        <v>668</v>
      </c>
      <c r="D12" s="245"/>
      <c r="E12" s="246"/>
      <c r="F12" s="54"/>
      <c r="G12" s="49"/>
      <c r="H12" s="50"/>
      <c r="I12" s="55" t="s">
        <v>396</v>
      </c>
      <c r="J12" s="56" t="s">
        <v>397</v>
      </c>
      <c r="K12" s="57">
        <v>1</v>
      </c>
      <c r="L12" s="47"/>
      <c r="N12" s="63"/>
      <c r="O12" s="47"/>
      <c r="Q12" s="58">
        <f>ROUND((ROUND((_11_A通院１１．０*_11・２人),0)*(1+_11・A深夜)),0)</f>
        <v>606</v>
      </c>
      <c r="R12" s="59"/>
    </row>
    <row r="13" spans="1:18" ht="16.5" customHeight="1" x14ac:dyDescent="0.2">
      <c r="A13" s="44">
        <v>16</v>
      </c>
      <c r="B13" s="53">
        <v>3257</v>
      </c>
      <c r="C13" s="69" t="s">
        <v>669</v>
      </c>
      <c r="D13" s="245"/>
      <c r="E13" s="246"/>
      <c r="F13" s="241" t="s">
        <v>398</v>
      </c>
      <c r="G13" s="60" t="s">
        <v>397</v>
      </c>
      <c r="H13" s="61">
        <v>0.7</v>
      </c>
      <c r="I13" s="55"/>
      <c r="J13" s="56"/>
      <c r="K13" s="57"/>
      <c r="L13" s="47"/>
      <c r="N13" s="63"/>
      <c r="O13" s="47"/>
      <c r="Q13" s="58">
        <f>ROUND((ROUND((_11_A通院１１．０*_11・基礎１),0)*(1+_11・A深夜)),0)</f>
        <v>425</v>
      </c>
      <c r="R13" s="59"/>
    </row>
    <row r="14" spans="1:18" ht="16.5" customHeight="1" x14ac:dyDescent="0.2">
      <c r="A14" s="44">
        <v>16</v>
      </c>
      <c r="B14" s="53">
        <v>3258</v>
      </c>
      <c r="C14" s="69" t="s">
        <v>670</v>
      </c>
      <c r="D14" s="84">
        <f>_11_A通院１１．０</f>
        <v>404</v>
      </c>
      <c r="E14" s="25" t="s">
        <v>412</v>
      </c>
      <c r="F14" s="247"/>
      <c r="G14" s="49"/>
      <c r="H14" s="50"/>
      <c r="I14" s="55" t="s">
        <v>396</v>
      </c>
      <c r="J14" s="56" t="s">
        <v>397</v>
      </c>
      <c r="K14" s="57">
        <v>1</v>
      </c>
      <c r="L14" s="47"/>
      <c r="N14" s="63"/>
      <c r="O14" s="54"/>
      <c r="P14" s="49"/>
      <c r="Q14" s="58">
        <f>ROUND((ROUND((ROUND((_11_A通院１１．０*_11・基礎１),0)*_11・２人),0)*(1+_11・A深夜)),0)</f>
        <v>425</v>
      </c>
      <c r="R14" s="59"/>
    </row>
    <row r="15" spans="1:18" ht="16.5" customHeight="1" x14ac:dyDescent="0.2">
      <c r="A15" s="44">
        <v>16</v>
      </c>
      <c r="B15" s="53">
        <v>3259</v>
      </c>
      <c r="C15" s="69" t="s">
        <v>671</v>
      </c>
      <c r="D15" s="243" t="s">
        <v>1959</v>
      </c>
      <c r="E15" s="244"/>
      <c r="F15" s="62"/>
      <c r="G15" s="60"/>
      <c r="H15" s="61"/>
      <c r="I15" s="55"/>
      <c r="J15" s="56"/>
      <c r="K15" s="57"/>
      <c r="L15" s="47"/>
      <c r="N15" s="63"/>
      <c r="O15" s="62"/>
      <c r="P15" s="60"/>
      <c r="Q15" s="58">
        <f>ROUND((_11_A通院１１．５*(1+_11・A深夜)),0)</f>
        <v>881</v>
      </c>
      <c r="R15" s="59"/>
    </row>
    <row r="16" spans="1:18" ht="16.5" customHeight="1" x14ac:dyDescent="0.2">
      <c r="A16" s="44">
        <v>16</v>
      </c>
      <c r="B16" s="53">
        <v>3260</v>
      </c>
      <c r="C16" s="69" t="s">
        <v>672</v>
      </c>
      <c r="D16" s="245"/>
      <c r="E16" s="246"/>
      <c r="F16" s="54"/>
      <c r="G16" s="49"/>
      <c r="H16" s="50"/>
      <c r="I16" s="55" t="s">
        <v>396</v>
      </c>
      <c r="J16" s="56" t="s">
        <v>397</v>
      </c>
      <c r="K16" s="57">
        <v>1</v>
      </c>
      <c r="L16" s="47"/>
      <c r="N16" s="63"/>
      <c r="O16" s="47"/>
      <c r="Q16" s="58">
        <f>ROUND((ROUND((_11_A通院１１．５*_11・２人),0)*(1+_11・A深夜)),0)</f>
        <v>881</v>
      </c>
      <c r="R16" s="59"/>
    </row>
    <row r="17" spans="1:18" ht="16.5" customHeight="1" x14ac:dyDescent="0.2">
      <c r="A17" s="44">
        <v>16</v>
      </c>
      <c r="B17" s="53">
        <v>3261</v>
      </c>
      <c r="C17" s="69" t="s">
        <v>673</v>
      </c>
      <c r="D17" s="245"/>
      <c r="E17" s="246"/>
      <c r="F17" s="241" t="s">
        <v>398</v>
      </c>
      <c r="G17" s="60" t="s">
        <v>397</v>
      </c>
      <c r="H17" s="61">
        <v>0.7</v>
      </c>
      <c r="I17" s="55"/>
      <c r="J17" s="56"/>
      <c r="K17" s="57"/>
      <c r="L17" s="47"/>
      <c r="N17" s="63"/>
      <c r="O17" s="47"/>
      <c r="Q17" s="58">
        <f>ROUND((ROUND((_11_A通院１１．５*_11・基礎１),0)*(1+_11・A深夜)),0)</f>
        <v>617</v>
      </c>
      <c r="R17" s="59"/>
    </row>
    <row r="18" spans="1:18" ht="16.5" customHeight="1" x14ac:dyDescent="0.2">
      <c r="A18" s="44">
        <v>16</v>
      </c>
      <c r="B18" s="53">
        <v>3262</v>
      </c>
      <c r="C18" s="69" t="s">
        <v>674</v>
      </c>
      <c r="D18" s="84">
        <f>_11_A通院１１．５</f>
        <v>587</v>
      </c>
      <c r="E18" s="25" t="s">
        <v>394</v>
      </c>
      <c r="F18" s="242"/>
      <c r="G18" s="49"/>
      <c r="H18" s="50"/>
      <c r="I18" s="55" t="s">
        <v>396</v>
      </c>
      <c r="J18" s="56" t="s">
        <v>397</v>
      </c>
      <c r="K18" s="57">
        <v>1</v>
      </c>
      <c r="L18" s="47"/>
      <c r="N18" s="63"/>
      <c r="O18" s="54"/>
      <c r="P18" s="49"/>
      <c r="Q18" s="58">
        <f>ROUND((ROUND((ROUND((_11_A通院１１．５*_11・基礎１),0)*_11・２人),0)*(1+_11・A深夜)),0)</f>
        <v>617</v>
      </c>
      <c r="R18" s="59"/>
    </row>
    <row r="19" spans="1:18" ht="16.5" customHeight="1" x14ac:dyDescent="0.2">
      <c r="A19" s="44">
        <v>16</v>
      </c>
      <c r="B19" s="53">
        <v>3263</v>
      </c>
      <c r="C19" s="69" t="s">
        <v>675</v>
      </c>
      <c r="D19" s="243" t="s">
        <v>1960</v>
      </c>
      <c r="E19" s="244"/>
      <c r="F19" s="62"/>
      <c r="G19" s="60"/>
      <c r="H19" s="61"/>
      <c r="I19" s="55"/>
      <c r="J19" s="56"/>
      <c r="K19" s="57"/>
      <c r="L19" s="47"/>
      <c r="N19" s="63"/>
      <c r="O19" s="62"/>
      <c r="P19" s="60"/>
      <c r="Q19" s="58">
        <f>ROUND((_11_A通院１２．０*(1+_11・A深夜)),0)</f>
        <v>1004</v>
      </c>
      <c r="R19" s="59"/>
    </row>
    <row r="20" spans="1:18" ht="16.5" customHeight="1" x14ac:dyDescent="0.2">
      <c r="A20" s="44">
        <v>16</v>
      </c>
      <c r="B20" s="53">
        <v>3264</v>
      </c>
      <c r="C20" s="69" t="s">
        <v>676</v>
      </c>
      <c r="D20" s="245"/>
      <c r="E20" s="246"/>
      <c r="F20" s="54"/>
      <c r="G20" s="49"/>
      <c r="H20" s="50"/>
      <c r="I20" s="55" t="s">
        <v>396</v>
      </c>
      <c r="J20" s="56" t="s">
        <v>397</v>
      </c>
      <c r="K20" s="57">
        <v>1</v>
      </c>
      <c r="L20" s="47"/>
      <c r="N20" s="63"/>
      <c r="O20" s="47"/>
      <c r="Q20" s="58">
        <f>ROUND((ROUND((_11_A通院１２．０*_11・２人),0)*(1+_11・A深夜)),0)</f>
        <v>1004</v>
      </c>
      <c r="R20" s="59"/>
    </row>
    <row r="21" spans="1:18" ht="16.5" customHeight="1" x14ac:dyDescent="0.2">
      <c r="A21" s="44">
        <v>16</v>
      </c>
      <c r="B21" s="53">
        <v>3265</v>
      </c>
      <c r="C21" s="69" t="s">
        <v>677</v>
      </c>
      <c r="D21" s="245"/>
      <c r="E21" s="246"/>
      <c r="F21" s="241" t="s">
        <v>398</v>
      </c>
      <c r="G21" s="60" t="s">
        <v>397</v>
      </c>
      <c r="H21" s="61">
        <v>0.7</v>
      </c>
      <c r="I21" s="55"/>
      <c r="J21" s="56"/>
      <c r="K21" s="57"/>
      <c r="L21" s="47"/>
      <c r="N21" s="63"/>
      <c r="O21" s="47"/>
      <c r="Q21" s="58">
        <f>ROUND((ROUND((_11_A通院１２．０*_11・基礎１),0)*(1+_11・A深夜)),0)</f>
        <v>702</v>
      </c>
      <c r="R21" s="59"/>
    </row>
    <row r="22" spans="1:18" ht="16.5" customHeight="1" x14ac:dyDescent="0.2">
      <c r="A22" s="44">
        <v>16</v>
      </c>
      <c r="B22" s="53">
        <v>3266</v>
      </c>
      <c r="C22" s="69" t="s">
        <v>678</v>
      </c>
      <c r="D22" s="84">
        <f>_11_A通院１２．０</f>
        <v>669</v>
      </c>
      <c r="E22" s="25" t="s">
        <v>394</v>
      </c>
      <c r="F22" s="242"/>
      <c r="G22" s="49"/>
      <c r="H22" s="50"/>
      <c r="I22" s="55" t="s">
        <v>396</v>
      </c>
      <c r="J22" s="56" t="s">
        <v>397</v>
      </c>
      <c r="K22" s="57">
        <v>1</v>
      </c>
      <c r="L22" s="47"/>
      <c r="N22" s="63"/>
      <c r="O22" s="54"/>
      <c r="P22" s="49"/>
      <c r="Q22" s="58">
        <f>ROUND((ROUND((ROUND((_11_A通院１２．０*_11・基礎１),0)*_11・２人),0)*(1+_11・A深夜)),0)</f>
        <v>702</v>
      </c>
      <c r="R22" s="59"/>
    </row>
    <row r="23" spans="1:18" ht="16.5" customHeight="1" x14ac:dyDescent="0.2">
      <c r="A23" s="44">
        <v>16</v>
      </c>
      <c r="B23" s="53">
        <v>3267</v>
      </c>
      <c r="C23" s="69" t="s">
        <v>679</v>
      </c>
      <c r="D23" s="243" t="s">
        <v>1961</v>
      </c>
      <c r="E23" s="244"/>
      <c r="F23" s="62"/>
      <c r="G23" s="60"/>
      <c r="H23" s="61"/>
      <c r="I23" s="55"/>
      <c r="J23" s="56"/>
      <c r="K23" s="57"/>
      <c r="L23" s="47"/>
      <c r="N23" s="63"/>
      <c r="O23" s="62"/>
      <c r="P23" s="60"/>
      <c r="Q23" s="58">
        <f>ROUND((_11_A通院１２．５*(1+_11・A深夜)),0)</f>
        <v>1131</v>
      </c>
      <c r="R23" s="59"/>
    </row>
    <row r="24" spans="1:18" ht="16.5" customHeight="1" x14ac:dyDescent="0.2">
      <c r="A24" s="44">
        <v>16</v>
      </c>
      <c r="B24" s="53">
        <v>3268</v>
      </c>
      <c r="C24" s="69" t="s">
        <v>680</v>
      </c>
      <c r="D24" s="245"/>
      <c r="E24" s="246"/>
      <c r="F24" s="54"/>
      <c r="G24" s="49"/>
      <c r="H24" s="50"/>
      <c r="I24" s="55" t="s">
        <v>396</v>
      </c>
      <c r="J24" s="56" t="s">
        <v>397</v>
      </c>
      <c r="K24" s="57">
        <v>1</v>
      </c>
      <c r="L24" s="47"/>
      <c r="N24" s="63"/>
      <c r="O24" s="47"/>
      <c r="Q24" s="58">
        <f>ROUND((ROUND((_11_A通院１２．５*_11・２人),0)*(1+_11・A深夜)),0)</f>
        <v>1131</v>
      </c>
      <c r="R24" s="59"/>
    </row>
    <row r="25" spans="1:18" ht="16.5" customHeight="1" x14ac:dyDescent="0.2">
      <c r="A25" s="44">
        <v>16</v>
      </c>
      <c r="B25" s="53">
        <v>3269</v>
      </c>
      <c r="C25" s="69" t="s">
        <v>681</v>
      </c>
      <c r="D25" s="245"/>
      <c r="E25" s="246"/>
      <c r="F25" s="241" t="s">
        <v>398</v>
      </c>
      <c r="G25" s="60" t="s">
        <v>397</v>
      </c>
      <c r="H25" s="61">
        <v>0.7</v>
      </c>
      <c r="I25" s="55"/>
      <c r="J25" s="56"/>
      <c r="K25" s="57"/>
      <c r="L25" s="47"/>
      <c r="N25" s="63"/>
      <c r="O25" s="47"/>
      <c r="Q25" s="58">
        <f>ROUND((ROUND((_11_A通院１２．５*_11・基礎１),0)*(1+_11・A深夜)),0)</f>
        <v>792</v>
      </c>
      <c r="R25" s="59"/>
    </row>
    <row r="26" spans="1:18" ht="16.5" customHeight="1" x14ac:dyDescent="0.2">
      <c r="A26" s="44">
        <v>16</v>
      </c>
      <c r="B26" s="53">
        <v>3270</v>
      </c>
      <c r="C26" s="69" t="s">
        <v>682</v>
      </c>
      <c r="D26" s="84">
        <f>_11_A通院１２．５</f>
        <v>754</v>
      </c>
      <c r="E26" s="25" t="s">
        <v>394</v>
      </c>
      <c r="F26" s="242"/>
      <c r="G26" s="49"/>
      <c r="H26" s="50"/>
      <c r="I26" s="55" t="s">
        <v>396</v>
      </c>
      <c r="J26" s="56" t="s">
        <v>397</v>
      </c>
      <c r="K26" s="57">
        <v>1</v>
      </c>
      <c r="L26" s="47"/>
      <c r="N26" s="63"/>
      <c r="O26" s="54"/>
      <c r="P26" s="49"/>
      <c r="Q26" s="58">
        <f>ROUND((ROUND((ROUND((_11_A通院１２．５*_11・基礎１),0)*_11・２人),0)*(1+_11・A深夜)),0)</f>
        <v>792</v>
      </c>
      <c r="R26" s="59"/>
    </row>
    <row r="27" spans="1:18" ht="16.5" customHeight="1" x14ac:dyDescent="0.2">
      <c r="A27" s="44">
        <v>16</v>
      </c>
      <c r="B27" s="53">
        <v>3271</v>
      </c>
      <c r="C27" s="69" t="s">
        <v>683</v>
      </c>
      <c r="D27" s="243" t="s">
        <v>1962</v>
      </c>
      <c r="E27" s="244"/>
      <c r="F27" s="62"/>
      <c r="G27" s="60"/>
      <c r="H27" s="61"/>
      <c r="I27" s="55"/>
      <c r="J27" s="56"/>
      <c r="K27" s="57"/>
      <c r="L27" s="47"/>
      <c r="N27" s="63"/>
      <c r="O27" s="62"/>
      <c r="P27" s="60"/>
      <c r="Q27" s="58">
        <f>ROUND((_11_A通院１３．０*(1+_11・A深夜)),0)</f>
        <v>1256</v>
      </c>
      <c r="R27" s="59"/>
    </row>
    <row r="28" spans="1:18" ht="16.5" customHeight="1" x14ac:dyDescent="0.2">
      <c r="A28" s="44">
        <v>16</v>
      </c>
      <c r="B28" s="53">
        <v>3272</v>
      </c>
      <c r="C28" s="69" t="s">
        <v>684</v>
      </c>
      <c r="D28" s="245"/>
      <c r="E28" s="246"/>
      <c r="F28" s="54"/>
      <c r="G28" s="49"/>
      <c r="H28" s="50"/>
      <c r="I28" s="55" t="s">
        <v>396</v>
      </c>
      <c r="J28" s="56" t="s">
        <v>397</v>
      </c>
      <c r="K28" s="57">
        <v>1</v>
      </c>
      <c r="L28" s="47"/>
      <c r="N28" s="63"/>
      <c r="O28" s="47"/>
      <c r="Q28" s="58">
        <f>ROUND((ROUND((_11_A通院１３．０*_11・２人),0)*(1+_11・A深夜)),0)</f>
        <v>1256</v>
      </c>
      <c r="R28" s="59"/>
    </row>
    <row r="29" spans="1:18" ht="16.5" customHeight="1" x14ac:dyDescent="0.2">
      <c r="A29" s="44">
        <v>16</v>
      </c>
      <c r="B29" s="53">
        <v>3273</v>
      </c>
      <c r="C29" s="69" t="s">
        <v>685</v>
      </c>
      <c r="D29" s="245"/>
      <c r="E29" s="246"/>
      <c r="F29" s="241" t="s">
        <v>398</v>
      </c>
      <c r="G29" s="60" t="s">
        <v>397</v>
      </c>
      <c r="H29" s="61">
        <v>0.7</v>
      </c>
      <c r="I29" s="55"/>
      <c r="J29" s="56"/>
      <c r="K29" s="57"/>
      <c r="L29" s="47"/>
      <c r="N29" s="63"/>
      <c r="O29" s="47"/>
      <c r="Q29" s="58">
        <f>ROUND((ROUND((_11_A通院１３．０*_11・基礎１),0)*(1+_11・A深夜)),0)</f>
        <v>879</v>
      </c>
      <c r="R29" s="59"/>
    </row>
    <row r="30" spans="1:18" ht="16.5" customHeight="1" x14ac:dyDescent="0.2">
      <c r="A30" s="44">
        <v>16</v>
      </c>
      <c r="B30" s="53">
        <v>3274</v>
      </c>
      <c r="C30" s="69" t="s">
        <v>686</v>
      </c>
      <c r="D30" s="84">
        <f>_11_A通院１３．０</f>
        <v>837</v>
      </c>
      <c r="E30" s="25" t="s">
        <v>394</v>
      </c>
      <c r="F30" s="242"/>
      <c r="G30" s="49"/>
      <c r="H30" s="50"/>
      <c r="I30" s="55" t="s">
        <v>396</v>
      </c>
      <c r="J30" s="56" t="s">
        <v>397</v>
      </c>
      <c r="K30" s="57">
        <v>1</v>
      </c>
      <c r="L30" s="47"/>
      <c r="N30" s="63"/>
      <c r="O30" s="54"/>
      <c r="P30" s="49"/>
      <c r="Q30" s="58">
        <f>ROUND((ROUND((ROUND((_11_A通院１３．０*_11・基礎１),0)*_11・２人),0)*(1+_11・A深夜)),0)</f>
        <v>879</v>
      </c>
      <c r="R30" s="59"/>
    </row>
    <row r="31" spans="1:18" ht="16.5" customHeight="1" x14ac:dyDescent="0.2">
      <c r="A31" s="44">
        <v>16</v>
      </c>
      <c r="B31" s="53">
        <v>3275</v>
      </c>
      <c r="C31" s="69" t="s">
        <v>687</v>
      </c>
      <c r="D31" s="243" t="s">
        <v>1963</v>
      </c>
      <c r="E31" s="244"/>
      <c r="F31" s="62"/>
      <c r="G31" s="60"/>
      <c r="H31" s="61"/>
      <c r="I31" s="55"/>
      <c r="J31" s="56"/>
      <c r="K31" s="57"/>
      <c r="L31" s="47"/>
      <c r="N31" s="63"/>
      <c r="O31" s="62"/>
      <c r="P31" s="60"/>
      <c r="Q31" s="58">
        <f>ROUND((_11_A通院１３．５*(1+_11・A深夜)),0)</f>
        <v>1382</v>
      </c>
      <c r="R31" s="59"/>
    </row>
    <row r="32" spans="1:18" ht="16.5" customHeight="1" x14ac:dyDescent="0.2">
      <c r="A32" s="44">
        <v>16</v>
      </c>
      <c r="B32" s="53">
        <v>3276</v>
      </c>
      <c r="C32" s="69" t="s">
        <v>688</v>
      </c>
      <c r="D32" s="245"/>
      <c r="E32" s="246"/>
      <c r="F32" s="54"/>
      <c r="G32" s="49"/>
      <c r="H32" s="50"/>
      <c r="I32" s="55" t="s">
        <v>396</v>
      </c>
      <c r="J32" s="56" t="s">
        <v>397</v>
      </c>
      <c r="K32" s="57">
        <v>1</v>
      </c>
      <c r="L32" s="47"/>
      <c r="N32" s="63"/>
      <c r="O32" s="47"/>
      <c r="Q32" s="58">
        <f>ROUND((ROUND((_11_A通院１３．５*_11・２人),0)*(1+_11・A深夜)),0)</f>
        <v>1382</v>
      </c>
      <c r="R32" s="59"/>
    </row>
    <row r="33" spans="1:18" ht="16.5" customHeight="1" x14ac:dyDescent="0.2">
      <c r="A33" s="44">
        <v>16</v>
      </c>
      <c r="B33" s="53">
        <v>3277</v>
      </c>
      <c r="C33" s="69" t="s">
        <v>689</v>
      </c>
      <c r="D33" s="245"/>
      <c r="E33" s="246"/>
      <c r="F33" s="241" t="s">
        <v>398</v>
      </c>
      <c r="G33" s="60" t="s">
        <v>397</v>
      </c>
      <c r="H33" s="61">
        <v>0.7</v>
      </c>
      <c r="I33" s="55"/>
      <c r="J33" s="56"/>
      <c r="K33" s="57"/>
      <c r="L33" s="47"/>
      <c r="N33" s="63"/>
      <c r="O33" s="47"/>
      <c r="Q33" s="58">
        <f>ROUND((ROUND((_11_A通院１３．５*_11・基礎１),0)*(1+_11・A深夜)),0)</f>
        <v>968</v>
      </c>
      <c r="R33" s="59"/>
    </row>
    <row r="34" spans="1:18" ht="16.5" customHeight="1" x14ac:dyDescent="0.2">
      <c r="A34" s="44">
        <v>16</v>
      </c>
      <c r="B34" s="53">
        <v>3278</v>
      </c>
      <c r="C34" s="69" t="s">
        <v>690</v>
      </c>
      <c r="D34" s="84">
        <f>_11_A通院１３．５</f>
        <v>921</v>
      </c>
      <c r="E34" s="25" t="s">
        <v>394</v>
      </c>
      <c r="F34" s="242"/>
      <c r="G34" s="49"/>
      <c r="H34" s="50"/>
      <c r="I34" s="55" t="s">
        <v>396</v>
      </c>
      <c r="J34" s="56" t="s">
        <v>397</v>
      </c>
      <c r="K34" s="57">
        <v>1</v>
      </c>
      <c r="L34" s="47"/>
      <c r="N34" s="63"/>
      <c r="O34" s="54"/>
      <c r="P34" s="49"/>
      <c r="Q34" s="58">
        <f>ROUND((ROUND((ROUND((_11_A通院１３．５*_11・基礎１),0)*_11・２人),0)*(1+_11・A深夜)),0)</f>
        <v>968</v>
      </c>
      <c r="R34" s="59"/>
    </row>
    <row r="35" spans="1:18" ht="16.5" customHeight="1" x14ac:dyDescent="0.2">
      <c r="A35" s="44">
        <v>16</v>
      </c>
      <c r="B35" s="53">
        <v>3279</v>
      </c>
      <c r="C35" s="69" t="s">
        <v>691</v>
      </c>
      <c r="D35" s="243" t="s">
        <v>1964</v>
      </c>
      <c r="E35" s="244"/>
      <c r="F35" s="62"/>
      <c r="G35" s="60"/>
      <c r="H35" s="61"/>
      <c r="I35" s="55"/>
      <c r="J35" s="56"/>
      <c r="K35" s="57"/>
      <c r="L35" s="47"/>
      <c r="N35" s="63"/>
      <c r="O35" s="62"/>
      <c r="P35" s="60"/>
      <c r="Q35" s="58">
        <f>ROUND((_11_A通院１４．０*(1+_11・A深夜)),0)</f>
        <v>1506</v>
      </c>
      <c r="R35" s="59"/>
    </row>
    <row r="36" spans="1:18" ht="16.5" customHeight="1" x14ac:dyDescent="0.2">
      <c r="A36" s="44">
        <v>16</v>
      </c>
      <c r="B36" s="53">
        <v>3280</v>
      </c>
      <c r="C36" s="69" t="s">
        <v>692</v>
      </c>
      <c r="D36" s="245"/>
      <c r="E36" s="246"/>
      <c r="F36" s="54"/>
      <c r="G36" s="49"/>
      <c r="H36" s="50"/>
      <c r="I36" s="55" t="s">
        <v>396</v>
      </c>
      <c r="J36" s="56" t="s">
        <v>397</v>
      </c>
      <c r="K36" s="57">
        <v>1</v>
      </c>
      <c r="L36" s="47"/>
      <c r="N36" s="63"/>
      <c r="O36" s="47"/>
      <c r="Q36" s="58">
        <f>ROUND((ROUND((_11_A通院１４．０*_11・２人),0)*(1+_11・A深夜)),0)</f>
        <v>1506</v>
      </c>
      <c r="R36" s="59"/>
    </row>
    <row r="37" spans="1:18" ht="16.5" customHeight="1" x14ac:dyDescent="0.2">
      <c r="A37" s="44">
        <v>16</v>
      </c>
      <c r="B37" s="53">
        <v>3281</v>
      </c>
      <c r="C37" s="69" t="s">
        <v>693</v>
      </c>
      <c r="D37" s="245"/>
      <c r="E37" s="246"/>
      <c r="F37" s="241" t="s">
        <v>398</v>
      </c>
      <c r="G37" s="60" t="s">
        <v>397</v>
      </c>
      <c r="H37" s="61">
        <v>0.7</v>
      </c>
      <c r="I37" s="55"/>
      <c r="J37" s="56"/>
      <c r="K37" s="57"/>
      <c r="L37" s="47"/>
      <c r="N37" s="63"/>
      <c r="O37" s="47"/>
      <c r="Q37" s="58">
        <f>ROUND((ROUND((_11_A通院１４．０*_11・基礎１),0)*(1+_11・A深夜)),0)</f>
        <v>1055</v>
      </c>
      <c r="R37" s="59"/>
    </row>
    <row r="38" spans="1:18" ht="16.5" customHeight="1" x14ac:dyDescent="0.2">
      <c r="A38" s="44">
        <v>16</v>
      </c>
      <c r="B38" s="53">
        <v>3282</v>
      </c>
      <c r="C38" s="69" t="s">
        <v>694</v>
      </c>
      <c r="D38" s="84">
        <f>_11_A通院１４．０</f>
        <v>1004</v>
      </c>
      <c r="E38" s="25" t="s">
        <v>394</v>
      </c>
      <c r="F38" s="242"/>
      <c r="G38" s="49"/>
      <c r="H38" s="50"/>
      <c r="I38" s="55" t="s">
        <v>396</v>
      </c>
      <c r="J38" s="56" t="s">
        <v>397</v>
      </c>
      <c r="K38" s="57">
        <v>1</v>
      </c>
      <c r="L38" s="47"/>
      <c r="N38" s="63"/>
      <c r="O38" s="54"/>
      <c r="P38" s="49"/>
      <c r="Q38" s="58">
        <f>ROUND((ROUND((ROUND((_11_A通院１４．０*_11・基礎１),0)*_11・２人),0)*(1+_11・A深夜)),0)</f>
        <v>1055</v>
      </c>
      <c r="R38" s="59"/>
    </row>
    <row r="39" spans="1:18" ht="16.5" customHeight="1" x14ac:dyDescent="0.2">
      <c r="A39" s="44">
        <v>16</v>
      </c>
      <c r="B39" s="53">
        <v>3283</v>
      </c>
      <c r="C39" s="69" t="s">
        <v>695</v>
      </c>
      <c r="D39" s="243" t="s">
        <v>1965</v>
      </c>
      <c r="E39" s="244"/>
      <c r="F39" s="62"/>
      <c r="G39" s="60"/>
      <c r="H39" s="61"/>
      <c r="I39" s="55"/>
      <c r="J39" s="56"/>
      <c r="K39" s="57"/>
      <c r="L39" s="47"/>
      <c r="N39" s="63"/>
      <c r="O39" s="62"/>
      <c r="P39" s="60"/>
      <c r="Q39" s="58">
        <f>ROUND((_11_A通院１４．５*(1+_11・A深夜)),0)</f>
        <v>1631</v>
      </c>
      <c r="R39" s="59"/>
    </row>
    <row r="40" spans="1:18" ht="16.5" customHeight="1" x14ac:dyDescent="0.2">
      <c r="A40" s="44">
        <v>16</v>
      </c>
      <c r="B40" s="53">
        <v>3284</v>
      </c>
      <c r="C40" s="69" t="s">
        <v>696</v>
      </c>
      <c r="D40" s="245"/>
      <c r="E40" s="246"/>
      <c r="F40" s="54"/>
      <c r="G40" s="49"/>
      <c r="H40" s="50"/>
      <c r="I40" s="55" t="s">
        <v>396</v>
      </c>
      <c r="J40" s="56" t="s">
        <v>397</v>
      </c>
      <c r="K40" s="57">
        <v>1</v>
      </c>
      <c r="L40" s="47"/>
      <c r="N40" s="63"/>
      <c r="O40" s="47"/>
      <c r="Q40" s="58">
        <f>ROUND((ROUND((_11_A通院１４．５*_11・２人),0)*(1+_11・A深夜)),0)</f>
        <v>1631</v>
      </c>
      <c r="R40" s="59"/>
    </row>
    <row r="41" spans="1:18" ht="16.5" customHeight="1" x14ac:dyDescent="0.2">
      <c r="A41" s="44">
        <v>16</v>
      </c>
      <c r="B41" s="53">
        <v>3285</v>
      </c>
      <c r="C41" s="69" t="s">
        <v>697</v>
      </c>
      <c r="D41" s="245"/>
      <c r="E41" s="246"/>
      <c r="F41" s="241" t="s">
        <v>398</v>
      </c>
      <c r="G41" s="60" t="s">
        <v>397</v>
      </c>
      <c r="H41" s="61">
        <v>0.7</v>
      </c>
      <c r="I41" s="55"/>
      <c r="J41" s="56"/>
      <c r="K41" s="57"/>
      <c r="L41" s="47"/>
      <c r="N41" s="63"/>
      <c r="O41" s="47"/>
      <c r="Q41" s="58">
        <f>ROUND((ROUND((_11_A通院１４．５*_11・基礎１),0)*(1+_11・A深夜)),0)</f>
        <v>1142</v>
      </c>
      <c r="R41" s="59"/>
    </row>
    <row r="42" spans="1:18" ht="16.5" customHeight="1" x14ac:dyDescent="0.2">
      <c r="A42" s="44">
        <v>16</v>
      </c>
      <c r="B42" s="53">
        <v>3286</v>
      </c>
      <c r="C42" s="69" t="s">
        <v>698</v>
      </c>
      <c r="D42" s="84">
        <f>_11_A通院１４．５</f>
        <v>1087</v>
      </c>
      <c r="E42" s="25" t="s">
        <v>394</v>
      </c>
      <c r="F42" s="242"/>
      <c r="G42" s="49"/>
      <c r="H42" s="50"/>
      <c r="I42" s="55" t="s">
        <v>396</v>
      </c>
      <c r="J42" s="56" t="s">
        <v>397</v>
      </c>
      <c r="K42" s="57">
        <v>1</v>
      </c>
      <c r="L42" s="47"/>
      <c r="N42" s="63"/>
      <c r="O42" s="54"/>
      <c r="P42" s="49"/>
      <c r="Q42" s="58">
        <f>ROUND((ROUND((ROUND((_11_A通院１４．５*_11・基礎１),0)*_11・２人),0)*(1+_11・A深夜)),0)</f>
        <v>1142</v>
      </c>
      <c r="R42" s="59"/>
    </row>
    <row r="43" spans="1:18" ht="16.5" customHeight="1" x14ac:dyDescent="0.2">
      <c r="A43" s="44">
        <v>16</v>
      </c>
      <c r="B43" s="44">
        <v>3287</v>
      </c>
      <c r="C43" s="45" t="s">
        <v>699</v>
      </c>
      <c r="D43" s="245" t="s">
        <v>1966</v>
      </c>
      <c r="E43" s="246"/>
      <c r="F43" s="47"/>
      <c r="I43" s="48"/>
      <c r="J43" s="49"/>
      <c r="K43" s="50"/>
      <c r="L43" s="67"/>
      <c r="N43" s="63"/>
      <c r="O43" s="47"/>
      <c r="Q43" s="51">
        <f>ROUND((_11_A通院１５．０*(1+_11・A深夜)),0)</f>
        <v>1755</v>
      </c>
      <c r="R43" s="52"/>
    </row>
    <row r="44" spans="1:18" ht="16.5" customHeight="1" x14ac:dyDescent="0.2">
      <c r="A44" s="44">
        <v>16</v>
      </c>
      <c r="B44" s="53">
        <v>3288</v>
      </c>
      <c r="C44" s="69" t="s">
        <v>700</v>
      </c>
      <c r="D44" s="245"/>
      <c r="E44" s="246"/>
      <c r="F44" s="54"/>
      <c r="G44" s="49"/>
      <c r="H44" s="50"/>
      <c r="I44" s="55" t="s">
        <v>396</v>
      </c>
      <c r="J44" s="56" t="s">
        <v>397</v>
      </c>
      <c r="K44" s="57">
        <v>1</v>
      </c>
      <c r="L44" s="47"/>
      <c r="N44" s="248"/>
      <c r="O44" s="47"/>
      <c r="Q44" s="58">
        <f>ROUND((ROUND((_11_A通院１５．０*_11・２人),0)*(1+_11・A深夜)),0)</f>
        <v>1755</v>
      </c>
      <c r="R44" s="59"/>
    </row>
    <row r="45" spans="1:18" ht="16.5" customHeight="1" x14ac:dyDescent="0.2">
      <c r="A45" s="44">
        <v>16</v>
      </c>
      <c r="B45" s="53">
        <v>3289</v>
      </c>
      <c r="C45" s="69" t="s">
        <v>701</v>
      </c>
      <c r="D45" s="245"/>
      <c r="E45" s="246"/>
      <c r="F45" s="241" t="s">
        <v>398</v>
      </c>
      <c r="G45" s="60" t="s">
        <v>397</v>
      </c>
      <c r="H45" s="61">
        <v>0.7</v>
      </c>
      <c r="I45" s="55"/>
      <c r="J45" s="56"/>
      <c r="K45" s="57"/>
      <c r="L45" s="47"/>
      <c r="N45" s="248"/>
      <c r="O45" s="47"/>
      <c r="Q45" s="58">
        <f>ROUND((ROUND((_11_A通院１５．０*_11・基礎１),0)*(1+_11・A深夜)),0)</f>
        <v>1229</v>
      </c>
      <c r="R45" s="59"/>
    </row>
    <row r="46" spans="1:18" ht="16.5" customHeight="1" x14ac:dyDescent="0.2">
      <c r="A46" s="44">
        <v>16</v>
      </c>
      <c r="B46" s="53">
        <v>3290</v>
      </c>
      <c r="C46" s="69" t="s">
        <v>702</v>
      </c>
      <c r="D46" s="84">
        <f>_11_A通院１５．０</f>
        <v>1170</v>
      </c>
      <c r="E46" s="25" t="s">
        <v>394</v>
      </c>
      <c r="F46" s="242"/>
      <c r="G46" s="49"/>
      <c r="H46" s="50"/>
      <c r="I46" s="55" t="s">
        <v>396</v>
      </c>
      <c r="J46" s="56" t="s">
        <v>397</v>
      </c>
      <c r="K46" s="57">
        <v>1</v>
      </c>
      <c r="L46" s="47"/>
      <c r="N46" s="63"/>
      <c r="O46" s="54"/>
      <c r="P46" s="49"/>
      <c r="Q46" s="58">
        <f>ROUND((ROUND((ROUND((_11_A通院１５．０*_11・基礎１),0)*_11・２人),0)*(1+_11・A深夜)),0)</f>
        <v>1229</v>
      </c>
      <c r="R46" s="59"/>
    </row>
    <row r="47" spans="1:18" ht="16.5" customHeight="1" x14ac:dyDescent="0.2">
      <c r="A47" s="44">
        <v>16</v>
      </c>
      <c r="B47" s="53">
        <v>3291</v>
      </c>
      <c r="C47" s="69" t="s">
        <v>703</v>
      </c>
      <c r="D47" s="243" t="s">
        <v>1967</v>
      </c>
      <c r="E47" s="244"/>
      <c r="F47" s="62"/>
      <c r="G47" s="60"/>
      <c r="H47" s="61"/>
      <c r="I47" s="55"/>
      <c r="J47" s="56"/>
      <c r="K47" s="57"/>
      <c r="L47" s="47"/>
      <c r="N47" s="63"/>
      <c r="O47" s="62"/>
      <c r="P47" s="60"/>
      <c r="Q47" s="58">
        <f>ROUND((_11_A通院１５．５*(1+_11・A深夜)),0)</f>
        <v>1880</v>
      </c>
      <c r="R47" s="59"/>
    </row>
    <row r="48" spans="1:18" ht="16.5" customHeight="1" x14ac:dyDescent="0.2">
      <c r="A48" s="44">
        <v>16</v>
      </c>
      <c r="B48" s="53">
        <v>3292</v>
      </c>
      <c r="C48" s="69" t="s">
        <v>704</v>
      </c>
      <c r="D48" s="245"/>
      <c r="E48" s="246"/>
      <c r="F48" s="54"/>
      <c r="G48" s="49"/>
      <c r="H48" s="50"/>
      <c r="I48" s="55" t="s">
        <v>396</v>
      </c>
      <c r="J48" s="56" t="s">
        <v>397</v>
      </c>
      <c r="K48" s="57">
        <v>1</v>
      </c>
      <c r="L48" s="47"/>
      <c r="N48" s="63"/>
      <c r="O48" s="47"/>
      <c r="Q48" s="58">
        <f>ROUND((ROUND((_11_A通院１５．５*_11・２人),0)*(1+_11・A深夜)),0)</f>
        <v>1880</v>
      </c>
      <c r="R48" s="59"/>
    </row>
    <row r="49" spans="1:18" ht="16.5" customHeight="1" x14ac:dyDescent="0.2">
      <c r="A49" s="44">
        <v>16</v>
      </c>
      <c r="B49" s="53">
        <v>3293</v>
      </c>
      <c r="C49" s="69" t="s">
        <v>705</v>
      </c>
      <c r="D49" s="245"/>
      <c r="E49" s="246"/>
      <c r="F49" s="241" t="s">
        <v>398</v>
      </c>
      <c r="G49" s="60" t="s">
        <v>397</v>
      </c>
      <c r="H49" s="61">
        <v>0.7</v>
      </c>
      <c r="I49" s="55"/>
      <c r="J49" s="56"/>
      <c r="K49" s="57"/>
      <c r="L49" s="47"/>
      <c r="N49" s="63"/>
      <c r="O49" s="47"/>
      <c r="Q49" s="58">
        <f>ROUND((ROUND((_11_A通院１５．５*_11・基礎１),0)*(1+_11・A深夜)),0)</f>
        <v>1316</v>
      </c>
      <c r="R49" s="59"/>
    </row>
    <row r="50" spans="1:18" ht="16.5" customHeight="1" x14ac:dyDescent="0.2">
      <c r="A50" s="44">
        <v>16</v>
      </c>
      <c r="B50" s="53">
        <v>3294</v>
      </c>
      <c r="C50" s="69" t="s">
        <v>706</v>
      </c>
      <c r="D50" s="84">
        <f>_11_A通院１５．５</f>
        <v>1253</v>
      </c>
      <c r="E50" s="25" t="s">
        <v>394</v>
      </c>
      <c r="F50" s="242"/>
      <c r="G50" s="49"/>
      <c r="H50" s="50"/>
      <c r="I50" s="55" t="s">
        <v>396</v>
      </c>
      <c r="J50" s="56" t="s">
        <v>397</v>
      </c>
      <c r="K50" s="57">
        <v>1</v>
      </c>
      <c r="L50" s="47"/>
      <c r="N50" s="63"/>
      <c r="O50" s="54"/>
      <c r="P50" s="49"/>
      <c r="Q50" s="58">
        <f>ROUND((ROUND((ROUND((_11_A通院１５．５*_11・基礎１),0)*_11・２人),0)*(1+_11・A深夜)),0)</f>
        <v>1316</v>
      </c>
      <c r="R50" s="59"/>
    </row>
    <row r="51" spans="1:18" ht="16.5" customHeight="1" x14ac:dyDescent="0.2">
      <c r="A51" s="44">
        <v>16</v>
      </c>
      <c r="B51" s="53">
        <v>3295</v>
      </c>
      <c r="C51" s="69" t="s">
        <v>707</v>
      </c>
      <c r="D51" s="243" t="s">
        <v>1968</v>
      </c>
      <c r="E51" s="244"/>
      <c r="F51" s="62"/>
      <c r="G51" s="60"/>
      <c r="H51" s="61"/>
      <c r="I51" s="55"/>
      <c r="J51" s="56"/>
      <c r="K51" s="57"/>
      <c r="L51" s="47"/>
      <c r="N51" s="63"/>
      <c r="O51" s="62"/>
      <c r="P51" s="60"/>
      <c r="Q51" s="58">
        <f>ROUND((_11_A通院１６．０*(1+_11・A深夜)),0)</f>
        <v>2004</v>
      </c>
      <c r="R51" s="59"/>
    </row>
    <row r="52" spans="1:18" ht="16.5" customHeight="1" x14ac:dyDescent="0.2">
      <c r="A52" s="44">
        <v>16</v>
      </c>
      <c r="B52" s="53">
        <v>3296</v>
      </c>
      <c r="C52" s="69" t="s">
        <v>708</v>
      </c>
      <c r="D52" s="245"/>
      <c r="E52" s="246"/>
      <c r="F52" s="54"/>
      <c r="G52" s="49"/>
      <c r="H52" s="50"/>
      <c r="I52" s="55" t="s">
        <v>396</v>
      </c>
      <c r="J52" s="56" t="s">
        <v>397</v>
      </c>
      <c r="K52" s="57">
        <v>1</v>
      </c>
      <c r="L52" s="47"/>
      <c r="N52" s="63"/>
      <c r="O52" s="47"/>
      <c r="Q52" s="58">
        <f>ROUND((ROUND((_11_A通院１６．０*_11・２人),0)*(1+_11・A深夜)),0)</f>
        <v>2004</v>
      </c>
      <c r="R52" s="59"/>
    </row>
    <row r="53" spans="1:18" ht="16.5" customHeight="1" x14ac:dyDescent="0.2">
      <c r="A53" s="44">
        <v>16</v>
      </c>
      <c r="B53" s="53">
        <v>3297</v>
      </c>
      <c r="C53" s="69" t="s">
        <v>709</v>
      </c>
      <c r="D53" s="245"/>
      <c r="E53" s="246"/>
      <c r="F53" s="241" t="s">
        <v>398</v>
      </c>
      <c r="G53" s="60" t="s">
        <v>397</v>
      </c>
      <c r="H53" s="61">
        <v>0.7</v>
      </c>
      <c r="I53" s="55"/>
      <c r="J53" s="56"/>
      <c r="K53" s="57"/>
      <c r="L53" s="47"/>
      <c r="N53" s="63"/>
      <c r="O53" s="47"/>
      <c r="Q53" s="58">
        <f>ROUND((ROUND((_11_A通院１６．０*_11・基礎１),0)*(1+_11・A深夜)),0)</f>
        <v>1403</v>
      </c>
      <c r="R53" s="59"/>
    </row>
    <row r="54" spans="1:18" ht="16.5" customHeight="1" x14ac:dyDescent="0.2">
      <c r="A54" s="44">
        <v>16</v>
      </c>
      <c r="B54" s="53">
        <v>3298</v>
      </c>
      <c r="C54" s="69" t="s">
        <v>710</v>
      </c>
      <c r="D54" s="84">
        <f>_11_A通院１６．０</f>
        <v>1336</v>
      </c>
      <c r="E54" s="25" t="s">
        <v>394</v>
      </c>
      <c r="F54" s="242"/>
      <c r="G54" s="49"/>
      <c r="H54" s="50"/>
      <c r="I54" s="55" t="s">
        <v>396</v>
      </c>
      <c r="J54" s="56" t="s">
        <v>397</v>
      </c>
      <c r="K54" s="57">
        <v>1</v>
      </c>
      <c r="L54" s="47"/>
      <c r="N54" s="63"/>
      <c r="O54" s="54"/>
      <c r="P54" s="49"/>
      <c r="Q54" s="58">
        <f>ROUND((ROUND((ROUND((_11_A通院１６．０*_11・基礎１),0)*_11・２人),0)*(1+_11・A深夜)),0)</f>
        <v>1403</v>
      </c>
      <c r="R54" s="59"/>
    </row>
    <row r="55" spans="1:18" ht="16.5" customHeight="1" x14ac:dyDescent="0.2">
      <c r="A55" s="44">
        <v>16</v>
      </c>
      <c r="B55" s="53">
        <v>3299</v>
      </c>
      <c r="C55" s="69" t="s">
        <v>711</v>
      </c>
      <c r="D55" s="243" t="s">
        <v>1969</v>
      </c>
      <c r="E55" s="244"/>
      <c r="F55" s="62"/>
      <c r="G55" s="60"/>
      <c r="H55" s="61"/>
      <c r="I55" s="55"/>
      <c r="J55" s="56"/>
      <c r="K55" s="57"/>
      <c r="L55" s="47"/>
      <c r="N55" s="63"/>
      <c r="O55" s="62"/>
      <c r="P55" s="60"/>
      <c r="Q55" s="58">
        <f>ROUND((_11_A通院１６．５*(1+_11・A深夜)),0)</f>
        <v>2129</v>
      </c>
      <c r="R55" s="59"/>
    </row>
    <row r="56" spans="1:18" ht="16.5" customHeight="1" x14ac:dyDescent="0.2">
      <c r="A56" s="44">
        <v>16</v>
      </c>
      <c r="B56" s="53">
        <v>3300</v>
      </c>
      <c r="C56" s="69" t="s">
        <v>712</v>
      </c>
      <c r="D56" s="245"/>
      <c r="E56" s="246"/>
      <c r="F56" s="54"/>
      <c r="G56" s="49"/>
      <c r="H56" s="50"/>
      <c r="I56" s="55" t="s">
        <v>396</v>
      </c>
      <c r="J56" s="56" t="s">
        <v>397</v>
      </c>
      <c r="K56" s="57">
        <v>1</v>
      </c>
      <c r="L56" s="47"/>
      <c r="N56" s="63"/>
      <c r="O56" s="47"/>
      <c r="Q56" s="58">
        <f>ROUND((ROUND((_11_A通院１６．５*_11・２人),0)*(1+_11・A深夜)),0)</f>
        <v>2129</v>
      </c>
      <c r="R56" s="59"/>
    </row>
    <row r="57" spans="1:18" ht="16.5" customHeight="1" x14ac:dyDescent="0.2">
      <c r="A57" s="44">
        <v>16</v>
      </c>
      <c r="B57" s="53">
        <v>3301</v>
      </c>
      <c r="C57" s="69" t="s">
        <v>713</v>
      </c>
      <c r="D57" s="245"/>
      <c r="E57" s="246"/>
      <c r="F57" s="241" t="s">
        <v>398</v>
      </c>
      <c r="G57" s="60" t="s">
        <v>397</v>
      </c>
      <c r="H57" s="61">
        <v>0.7</v>
      </c>
      <c r="I57" s="55"/>
      <c r="J57" s="56"/>
      <c r="K57" s="57"/>
      <c r="L57" s="47"/>
      <c r="N57" s="63"/>
      <c r="O57" s="47"/>
      <c r="Q57" s="58">
        <f>ROUND((ROUND((_11_A通院１６．５*_11・基礎１),0)*(1+_11・A深夜)),0)</f>
        <v>1490</v>
      </c>
      <c r="R57" s="59"/>
    </row>
    <row r="58" spans="1:18" ht="16.5" customHeight="1" x14ac:dyDescent="0.2">
      <c r="A58" s="44">
        <v>16</v>
      </c>
      <c r="B58" s="53">
        <v>3302</v>
      </c>
      <c r="C58" s="69" t="s">
        <v>714</v>
      </c>
      <c r="D58" s="110">
        <f>_11_A通院１６．５</f>
        <v>1419</v>
      </c>
      <c r="E58" s="97" t="s">
        <v>394</v>
      </c>
      <c r="F58" s="242"/>
      <c r="G58" s="49"/>
      <c r="H58" s="50"/>
      <c r="I58" s="55" t="s">
        <v>396</v>
      </c>
      <c r="J58" s="56" t="s">
        <v>397</v>
      </c>
      <c r="K58" s="57">
        <v>1</v>
      </c>
      <c r="L58" s="54"/>
      <c r="M58" s="50"/>
      <c r="N58" s="97"/>
      <c r="O58" s="54"/>
      <c r="P58" s="49"/>
      <c r="Q58" s="58">
        <f>ROUND((ROUND((ROUND((_11_A通院１６．５*_11・基礎１),0)*_11・２人),0)*(1+_11・A深夜)),0)</f>
        <v>1490</v>
      </c>
      <c r="R58" s="111"/>
    </row>
    <row r="59" spans="1:18" ht="16.5" customHeight="1" x14ac:dyDescent="0.2"/>
    <row r="60" spans="1:18" ht="16.5" customHeight="1" x14ac:dyDescent="0.2"/>
  </sheetData>
  <mergeCells count="28">
    <mergeCell ref="D7:E9"/>
    <mergeCell ref="N8:N9"/>
    <mergeCell ref="F9:F10"/>
    <mergeCell ref="D19:E21"/>
    <mergeCell ref="F21:F22"/>
    <mergeCell ref="D15:E17"/>
    <mergeCell ref="F17:F18"/>
    <mergeCell ref="D11:E13"/>
    <mergeCell ref="F13:F14"/>
    <mergeCell ref="N44:N45"/>
    <mergeCell ref="F45:F46"/>
    <mergeCell ref="D31:E33"/>
    <mergeCell ref="F33:F34"/>
    <mergeCell ref="D23:E25"/>
    <mergeCell ref="F25:F26"/>
    <mergeCell ref="D27:E29"/>
    <mergeCell ref="F29:F30"/>
    <mergeCell ref="D55:E57"/>
    <mergeCell ref="F57:F58"/>
    <mergeCell ref="D51:E53"/>
    <mergeCell ref="F53:F54"/>
    <mergeCell ref="D35:E37"/>
    <mergeCell ref="F37:F38"/>
    <mergeCell ref="D47:E49"/>
    <mergeCell ref="F49:F50"/>
    <mergeCell ref="D39:E41"/>
    <mergeCell ref="F41:F42"/>
    <mergeCell ref="D43:E4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7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68"/>
  <sheetViews>
    <sheetView workbookViewId="0"/>
  </sheetViews>
  <sheetFormatPr defaultColWidth="8.90625" defaultRowHeight="14" x14ac:dyDescent="0.2"/>
  <cols>
    <col min="1" max="1" width="4.6328125" style="22" customWidth="1"/>
    <col min="2" max="2" width="7.6328125" style="22" customWidth="1"/>
    <col min="3" max="3" width="33.90625" style="23" bestFit="1" customWidth="1"/>
    <col min="4" max="4" width="4.90625" style="23" customWidth="1"/>
    <col min="5" max="5" width="4.453125" style="25" bestFit="1" customWidth="1"/>
    <col min="6" max="6" width="4.90625" style="23" customWidth="1"/>
    <col min="7" max="7" width="4.453125" style="25" customWidth="1"/>
    <col min="8" max="8" width="11.90625" style="25" customWidth="1"/>
    <col min="9" max="9" width="3.453125" style="25" bestFit="1" customWidth="1"/>
    <col min="10" max="10" width="4.453125" style="26" bestFit="1" customWidth="1"/>
    <col min="11" max="11" width="25.36328125" style="27" bestFit="1" customWidth="1"/>
    <col min="12" max="12" width="3.453125" style="25" bestFit="1" customWidth="1"/>
    <col min="13" max="13" width="5.453125" style="26" bestFit="1" customWidth="1"/>
    <col min="14" max="14" width="3.453125" style="25" bestFit="1" customWidth="1"/>
    <col min="15" max="15" width="4.453125" style="26" bestFit="1" customWidth="1"/>
    <col min="16" max="16" width="5.36328125" style="25" bestFit="1" customWidth="1"/>
    <col min="17" max="17" width="3.453125" style="25" bestFit="1" customWidth="1"/>
    <col min="18" max="18" width="4.453125" style="26" bestFit="1" customWidth="1"/>
    <col min="19" max="19" width="5.36328125" style="25" bestFit="1" customWidth="1"/>
    <col min="20" max="20" width="9.90625" style="25" customWidth="1"/>
    <col min="21" max="21" width="4.453125" style="25" bestFit="1" customWidth="1"/>
    <col min="22" max="22" width="7.08984375" style="28" customWidth="1"/>
    <col min="23" max="23" width="8.6328125" style="29" customWidth="1"/>
    <col min="24" max="16384" width="8.90625" style="25"/>
  </cols>
  <sheetData>
    <row r="1" spans="1:23" ht="17.149999999999999" customHeight="1" x14ac:dyDescent="0.2"/>
    <row r="2" spans="1:23" ht="17.149999999999999" customHeight="1" x14ac:dyDescent="0.2"/>
    <row r="3" spans="1:23" ht="17.149999999999999" customHeight="1" x14ac:dyDescent="0.2"/>
    <row r="4" spans="1:23" ht="17.149999999999999" customHeight="1" x14ac:dyDescent="0.2">
      <c r="B4" s="30" t="s">
        <v>715</v>
      </c>
      <c r="D4" s="65"/>
    </row>
    <row r="5" spans="1:23" ht="16.5" customHeight="1" x14ac:dyDescent="0.2">
      <c r="A5" s="31" t="s">
        <v>386</v>
      </c>
      <c r="B5" s="32"/>
      <c r="C5" s="33" t="s">
        <v>387</v>
      </c>
      <c r="D5" s="34" t="s">
        <v>388</v>
      </c>
      <c r="E5" s="34"/>
      <c r="F5" s="34"/>
      <c r="G5" s="34"/>
      <c r="H5" s="34"/>
      <c r="I5" s="34"/>
      <c r="J5" s="35"/>
      <c r="K5" s="34"/>
      <c r="L5" s="34"/>
      <c r="M5" s="35"/>
      <c r="N5" s="34"/>
      <c r="O5" s="35"/>
      <c r="P5" s="34"/>
      <c r="Q5" s="34"/>
      <c r="R5" s="35"/>
      <c r="S5" s="34"/>
      <c r="T5" s="34"/>
      <c r="U5" s="34"/>
      <c r="V5" s="36" t="s">
        <v>389</v>
      </c>
      <c r="W5" s="33" t="s">
        <v>390</v>
      </c>
    </row>
    <row r="6" spans="1:23" ht="16.5" customHeight="1" x14ac:dyDescent="0.2">
      <c r="A6" s="37" t="s">
        <v>391</v>
      </c>
      <c r="B6" s="37" t="s">
        <v>392</v>
      </c>
      <c r="C6" s="38"/>
      <c r="D6" s="77" t="s">
        <v>403</v>
      </c>
      <c r="E6" s="113"/>
      <c r="F6" s="77" t="s">
        <v>404</v>
      </c>
      <c r="G6" s="32"/>
      <c r="H6" s="40"/>
      <c r="I6" s="40"/>
      <c r="J6" s="41"/>
      <c r="K6" s="40"/>
      <c r="L6" s="40"/>
      <c r="M6" s="41"/>
      <c r="N6" s="40"/>
      <c r="O6" s="41"/>
      <c r="P6" s="40"/>
      <c r="Q6" s="40"/>
      <c r="R6" s="41"/>
      <c r="S6" s="40"/>
      <c r="T6" s="40"/>
      <c r="U6" s="40"/>
      <c r="V6" s="42" t="s">
        <v>393</v>
      </c>
      <c r="W6" s="43" t="s">
        <v>394</v>
      </c>
    </row>
    <row r="7" spans="1:23" ht="16.5" customHeight="1" x14ac:dyDescent="0.2">
      <c r="A7" s="44">
        <v>16</v>
      </c>
      <c r="B7" s="44">
        <v>3303</v>
      </c>
      <c r="C7" s="45" t="s">
        <v>716</v>
      </c>
      <c r="D7" s="245" t="s">
        <v>1957</v>
      </c>
      <c r="E7" s="246"/>
      <c r="F7" s="245" t="s">
        <v>1970</v>
      </c>
      <c r="G7" s="246"/>
      <c r="H7" s="47"/>
      <c r="K7" s="48"/>
      <c r="L7" s="49"/>
      <c r="M7" s="50"/>
      <c r="N7" s="67" t="s">
        <v>405</v>
      </c>
      <c r="P7" s="63"/>
      <c r="Q7" s="80" t="s">
        <v>406</v>
      </c>
      <c r="S7" s="63"/>
      <c r="T7" s="47"/>
      <c r="V7" s="51">
        <f>ROUND((_11_A通院１０．５*(1+_11・A深夜)),0)+ROUND((_11_B通院１０．５＿０．５*(1+_11・B早朝)),0)</f>
        <v>569</v>
      </c>
      <c r="W7" s="52" t="s">
        <v>395</v>
      </c>
    </row>
    <row r="8" spans="1:23" ht="16.5" customHeight="1" x14ac:dyDescent="0.2">
      <c r="A8" s="44">
        <v>16</v>
      </c>
      <c r="B8" s="53">
        <v>3304</v>
      </c>
      <c r="C8" s="69" t="s">
        <v>717</v>
      </c>
      <c r="D8" s="245"/>
      <c r="E8" s="246"/>
      <c r="F8" s="245"/>
      <c r="G8" s="246"/>
      <c r="H8" s="54"/>
      <c r="I8" s="49"/>
      <c r="J8" s="50"/>
      <c r="K8" s="55" t="s">
        <v>396</v>
      </c>
      <c r="L8" s="56" t="s">
        <v>397</v>
      </c>
      <c r="M8" s="57">
        <v>1</v>
      </c>
      <c r="N8" s="47" t="s">
        <v>397</v>
      </c>
      <c r="O8" s="26">
        <v>0.5</v>
      </c>
      <c r="P8" s="248" t="s">
        <v>400</v>
      </c>
      <c r="Q8" s="25" t="s">
        <v>397</v>
      </c>
      <c r="R8" s="26">
        <v>0.25</v>
      </c>
      <c r="S8" s="248" t="s">
        <v>400</v>
      </c>
      <c r="T8" s="47"/>
      <c r="V8" s="58">
        <f>ROUND((ROUND((_11_A通院１０．５*_11・２人),0)*(1+_11・A深夜)),0)+ROUND((ROUND((_11_B通院１０．５＿０．５*_11・２人),0)*(1+_11・B早朝)),0)</f>
        <v>569</v>
      </c>
      <c r="W8" s="59"/>
    </row>
    <row r="9" spans="1:23" ht="16.5" customHeight="1" x14ac:dyDescent="0.2">
      <c r="A9" s="44">
        <v>16</v>
      </c>
      <c r="B9" s="53">
        <v>3305</v>
      </c>
      <c r="C9" s="69" t="s">
        <v>718</v>
      </c>
      <c r="D9" s="245"/>
      <c r="E9" s="246"/>
      <c r="F9" s="245"/>
      <c r="G9" s="246"/>
      <c r="H9" s="241" t="s">
        <v>398</v>
      </c>
      <c r="I9" s="60" t="s">
        <v>397</v>
      </c>
      <c r="J9" s="61">
        <v>0.7</v>
      </c>
      <c r="K9" s="55"/>
      <c r="L9" s="56"/>
      <c r="M9" s="57"/>
      <c r="N9" s="47"/>
      <c r="P9" s="248"/>
      <c r="S9" s="248"/>
      <c r="T9" s="47"/>
      <c r="V9" s="58">
        <f>ROUND((ROUND((_11_A通院１０．５*_11・基礎１),0)*(1+_11・A深夜)),0)+ROUND((ROUND((_11_B通院１０．５＿０．５*_11・基礎１),0)*(1+_11・B早朝)),0)</f>
        <v>399</v>
      </c>
      <c r="W9" s="59"/>
    </row>
    <row r="10" spans="1:23" ht="16.5" customHeight="1" x14ac:dyDescent="0.2">
      <c r="A10" s="44">
        <v>16</v>
      </c>
      <c r="B10" s="53">
        <v>3306</v>
      </c>
      <c r="C10" s="69" t="s">
        <v>719</v>
      </c>
      <c r="D10" s="99">
        <f>_11_A通院１０．５</f>
        <v>256</v>
      </c>
      <c r="E10" s="25" t="s">
        <v>394</v>
      </c>
      <c r="F10" s="99">
        <f>_11_B通院１０．５＿０．５</f>
        <v>148</v>
      </c>
      <c r="G10" s="25" t="s">
        <v>394</v>
      </c>
      <c r="H10" s="242"/>
      <c r="I10" s="49"/>
      <c r="J10" s="50"/>
      <c r="K10" s="55" t="s">
        <v>396</v>
      </c>
      <c r="L10" s="56" t="s">
        <v>397</v>
      </c>
      <c r="M10" s="57">
        <v>1</v>
      </c>
      <c r="N10" s="47"/>
      <c r="P10" s="63"/>
      <c r="S10" s="63"/>
      <c r="T10" s="54"/>
      <c r="U10" s="49"/>
      <c r="V10" s="58">
        <f>ROUND((ROUND((ROUND((_11_A通院１０．５*_11・基礎１),0)*_11・２人),0)*(1+_11・A深夜)),0)+ROUND((ROUND((ROUND((_11_B通院１０．５＿０．５*_11・基礎１),0)*_11・２人),0)*(1+_11・B早朝)),0)</f>
        <v>399</v>
      </c>
      <c r="W10" s="59"/>
    </row>
    <row r="11" spans="1:23" ht="16.5" customHeight="1" x14ac:dyDescent="0.2">
      <c r="A11" s="44">
        <v>16</v>
      </c>
      <c r="B11" s="53">
        <v>3307</v>
      </c>
      <c r="C11" s="69" t="s">
        <v>720</v>
      </c>
      <c r="D11" s="67"/>
      <c r="F11" s="243" t="s">
        <v>1971</v>
      </c>
      <c r="G11" s="244"/>
      <c r="H11" s="62"/>
      <c r="I11" s="60"/>
      <c r="J11" s="61"/>
      <c r="K11" s="55"/>
      <c r="L11" s="56"/>
      <c r="M11" s="57"/>
      <c r="N11" s="47"/>
      <c r="P11" s="63"/>
      <c r="S11" s="63"/>
      <c r="T11" s="62"/>
      <c r="U11" s="60"/>
      <c r="V11" s="58">
        <f>ROUND((_11_A通院１０．５*(1+_11・A深夜)),0)+ROUND((_11_B通院１０．５＿１．０*(1+_11・B早朝)),0)</f>
        <v>798</v>
      </c>
      <c r="W11" s="59"/>
    </row>
    <row r="12" spans="1:23" ht="16.5" customHeight="1" x14ac:dyDescent="0.2">
      <c r="A12" s="44">
        <v>16</v>
      </c>
      <c r="B12" s="53">
        <v>3308</v>
      </c>
      <c r="C12" s="69" t="s">
        <v>721</v>
      </c>
      <c r="D12" s="67"/>
      <c r="F12" s="245"/>
      <c r="G12" s="246"/>
      <c r="H12" s="54"/>
      <c r="I12" s="49"/>
      <c r="J12" s="50"/>
      <c r="K12" s="55" t="s">
        <v>396</v>
      </c>
      <c r="L12" s="56" t="s">
        <v>397</v>
      </c>
      <c r="M12" s="57">
        <v>1</v>
      </c>
      <c r="N12" s="47"/>
      <c r="P12" s="63"/>
      <c r="S12" s="63"/>
      <c r="T12" s="47"/>
      <c r="V12" s="58">
        <f>ROUND((ROUND((_11_A通院１０．５*_11・２人),0)*(1+_11・A深夜)),0)+ROUND((ROUND((_11_B通院１０．５＿１．０*_11・２人),0)*(1+_11・B早朝)),0)</f>
        <v>798</v>
      </c>
      <c r="W12" s="59"/>
    </row>
    <row r="13" spans="1:23" ht="16.5" customHeight="1" x14ac:dyDescent="0.2">
      <c r="A13" s="44">
        <v>16</v>
      </c>
      <c r="B13" s="53">
        <v>3309</v>
      </c>
      <c r="C13" s="69" t="s">
        <v>722</v>
      </c>
      <c r="D13" s="67"/>
      <c r="F13" s="245"/>
      <c r="G13" s="246"/>
      <c r="H13" s="241" t="s">
        <v>398</v>
      </c>
      <c r="I13" s="60" t="s">
        <v>397</v>
      </c>
      <c r="J13" s="61">
        <v>0.7</v>
      </c>
      <c r="K13" s="55"/>
      <c r="L13" s="56"/>
      <c r="M13" s="57"/>
      <c r="N13" s="47"/>
      <c r="P13" s="63"/>
      <c r="S13" s="63"/>
      <c r="T13" s="47"/>
      <c r="V13" s="58">
        <f>ROUND((ROUND((_11_A通院１０．５*_11・基礎１),0)*(1+_11・A深夜)),0)+ROUND((ROUND((_11_B通院１０．５＿１．０*_11・基礎１),0)*(1+_11・B早朝)),0)</f>
        <v>559</v>
      </c>
      <c r="W13" s="59"/>
    </row>
    <row r="14" spans="1:23" ht="16.5" customHeight="1" x14ac:dyDescent="0.2">
      <c r="A14" s="44">
        <v>16</v>
      </c>
      <c r="B14" s="53">
        <v>3310</v>
      </c>
      <c r="C14" s="69" t="s">
        <v>723</v>
      </c>
      <c r="D14" s="67"/>
      <c r="F14" s="99">
        <f>_11_B通院１０．５＿１．０</f>
        <v>331</v>
      </c>
      <c r="G14" s="25" t="s">
        <v>394</v>
      </c>
      <c r="H14" s="242"/>
      <c r="I14" s="49"/>
      <c r="J14" s="50"/>
      <c r="K14" s="55" t="s">
        <v>396</v>
      </c>
      <c r="L14" s="56" t="s">
        <v>397</v>
      </c>
      <c r="M14" s="57">
        <v>1</v>
      </c>
      <c r="N14" s="47"/>
      <c r="P14" s="63"/>
      <c r="S14" s="63"/>
      <c r="T14" s="54"/>
      <c r="U14" s="49"/>
      <c r="V14" s="58">
        <f>ROUND((ROUND((ROUND((_11_A通院１０．５*_11・基礎１),0)*_11・２人),0)*(1+_11・A深夜)),0)+ROUND((ROUND((ROUND((_11_B通院１０．５＿１．０*_11・基礎１),0)*_11・２人),0)*(1+_11・B早朝)),0)</f>
        <v>559</v>
      </c>
      <c r="W14" s="59"/>
    </row>
    <row r="15" spans="1:23" ht="16.5" customHeight="1" x14ac:dyDescent="0.2">
      <c r="A15" s="44">
        <v>16</v>
      </c>
      <c r="B15" s="53">
        <v>3311</v>
      </c>
      <c r="C15" s="69" t="s">
        <v>724</v>
      </c>
      <c r="D15" s="67"/>
      <c r="F15" s="243" t="s">
        <v>1972</v>
      </c>
      <c r="G15" s="244"/>
      <c r="H15" s="62"/>
      <c r="I15" s="60"/>
      <c r="J15" s="61"/>
      <c r="K15" s="55"/>
      <c r="L15" s="56"/>
      <c r="M15" s="57"/>
      <c r="N15" s="47"/>
      <c r="P15" s="63"/>
      <c r="S15" s="63"/>
      <c r="T15" s="62"/>
      <c r="U15" s="60"/>
      <c r="V15" s="58">
        <f>ROUND((_11_A通院１０．５*(1+_11・A深夜)),0)+ROUND((_11_B通院１０．５＿１．５*(1+_11・B早朝)),0)</f>
        <v>900</v>
      </c>
      <c r="W15" s="59"/>
    </row>
    <row r="16" spans="1:23" ht="16.5" customHeight="1" x14ac:dyDescent="0.2">
      <c r="A16" s="44">
        <v>16</v>
      </c>
      <c r="B16" s="53">
        <v>3312</v>
      </c>
      <c r="C16" s="69" t="s">
        <v>725</v>
      </c>
      <c r="D16" s="67"/>
      <c r="F16" s="245"/>
      <c r="G16" s="246"/>
      <c r="H16" s="54"/>
      <c r="I16" s="49"/>
      <c r="J16" s="50"/>
      <c r="K16" s="55" t="s">
        <v>396</v>
      </c>
      <c r="L16" s="56" t="s">
        <v>397</v>
      </c>
      <c r="M16" s="57">
        <v>1</v>
      </c>
      <c r="N16" s="47"/>
      <c r="P16" s="63"/>
      <c r="S16" s="63"/>
      <c r="T16" s="47"/>
      <c r="V16" s="58">
        <f>ROUND((ROUND((_11_A通院１０．５*_11・２人),0)*(1+_11・A深夜)),0)+ROUND((ROUND((_11_B通院１０．５＿１．５*_11・２人),0)*(1+_11・B早朝)),0)</f>
        <v>900</v>
      </c>
      <c r="W16" s="59"/>
    </row>
    <row r="17" spans="1:23" ht="16.5" customHeight="1" x14ac:dyDescent="0.2">
      <c r="A17" s="44">
        <v>16</v>
      </c>
      <c r="B17" s="53">
        <v>3313</v>
      </c>
      <c r="C17" s="69" t="s">
        <v>726</v>
      </c>
      <c r="D17" s="67"/>
      <c r="F17" s="245"/>
      <c r="G17" s="246"/>
      <c r="H17" s="241" t="s">
        <v>398</v>
      </c>
      <c r="I17" s="60" t="s">
        <v>397</v>
      </c>
      <c r="J17" s="61">
        <v>0.7</v>
      </c>
      <c r="K17" s="55"/>
      <c r="L17" s="56"/>
      <c r="M17" s="57"/>
      <c r="N17" s="47"/>
      <c r="P17" s="63"/>
      <c r="S17" s="63"/>
      <c r="T17" s="47"/>
      <c r="V17" s="58">
        <f>ROUND((ROUND((_11_A通院１０．５*_11・基礎１),0)*(1+_11・A深夜)),0)+ROUND((ROUND((_11_B通院１０．５＿１．５*_11・基礎１),0)*(1+_11・B早朝)),0)</f>
        <v>630</v>
      </c>
      <c r="W17" s="59"/>
    </row>
    <row r="18" spans="1:23" ht="16.5" customHeight="1" x14ac:dyDescent="0.2">
      <c r="A18" s="44">
        <v>16</v>
      </c>
      <c r="B18" s="53">
        <v>3314</v>
      </c>
      <c r="C18" s="69" t="s">
        <v>727</v>
      </c>
      <c r="D18" s="67"/>
      <c r="F18" s="99">
        <f>_11_B通院１０．５＿１．５</f>
        <v>413</v>
      </c>
      <c r="G18" s="25" t="s">
        <v>394</v>
      </c>
      <c r="H18" s="242"/>
      <c r="I18" s="49"/>
      <c r="J18" s="50"/>
      <c r="K18" s="55" t="s">
        <v>396</v>
      </c>
      <c r="L18" s="56" t="s">
        <v>397</v>
      </c>
      <c r="M18" s="57">
        <v>1</v>
      </c>
      <c r="N18" s="47"/>
      <c r="P18" s="63"/>
      <c r="S18" s="63"/>
      <c r="T18" s="54"/>
      <c r="U18" s="49"/>
      <c r="V18" s="58">
        <f>ROUND((ROUND((ROUND((_11_A通院１０．５*_11・基礎１),0)*_11・２人),0)*(1+_11・A深夜)),0)+ROUND((ROUND((ROUND((_11_B通院１０．５＿１．５*_11・基礎１),0)*_11・２人),0)*(1+_11・B早朝)),0)</f>
        <v>630</v>
      </c>
      <c r="W18" s="59"/>
    </row>
    <row r="19" spans="1:23" ht="16.5" customHeight="1" x14ac:dyDescent="0.2">
      <c r="A19" s="44">
        <v>16</v>
      </c>
      <c r="B19" s="53">
        <v>3315</v>
      </c>
      <c r="C19" s="69" t="s">
        <v>728</v>
      </c>
      <c r="D19" s="103"/>
      <c r="E19" s="86"/>
      <c r="F19" s="243" t="s">
        <v>1973</v>
      </c>
      <c r="G19" s="244"/>
      <c r="H19" s="62"/>
      <c r="I19" s="60"/>
      <c r="J19" s="61"/>
      <c r="K19" s="55"/>
      <c r="L19" s="56"/>
      <c r="M19" s="57"/>
      <c r="N19" s="47"/>
      <c r="P19" s="63"/>
      <c r="S19" s="63"/>
      <c r="T19" s="62"/>
      <c r="U19" s="60"/>
      <c r="V19" s="58">
        <f>ROUND((_11_A通院１０．５*(1+_11・A深夜)),0)+ROUND((_11_B通院１０．５＿２．０*(1+_11・B早朝)),0)</f>
        <v>1007</v>
      </c>
      <c r="W19" s="59"/>
    </row>
    <row r="20" spans="1:23" ht="16.5" customHeight="1" x14ac:dyDescent="0.2">
      <c r="A20" s="44">
        <v>16</v>
      </c>
      <c r="B20" s="53">
        <v>3316</v>
      </c>
      <c r="C20" s="69" t="s">
        <v>729</v>
      </c>
      <c r="D20" s="103"/>
      <c r="E20" s="86"/>
      <c r="F20" s="245"/>
      <c r="G20" s="246"/>
      <c r="H20" s="54"/>
      <c r="I20" s="49"/>
      <c r="J20" s="50"/>
      <c r="K20" s="55" t="s">
        <v>396</v>
      </c>
      <c r="L20" s="56" t="s">
        <v>397</v>
      </c>
      <c r="M20" s="57">
        <v>1</v>
      </c>
      <c r="N20" s="47"/>
      <c r="P20" s="63"/>
      <c r="S20" s="63"/>
      <c r="T20" s="47"/>
      <c r="V20" s="58">
        <f>ROUND((ROUND((_11_A通院１０．５*_11・２人),0)*(1+_11・A深夜)),0)+ROUND((ROUND((_11_B通院１０．５＿２．０*_11・２人),0)*(1+_11・B早朝)),0)</f>
        <v>1007</v>
      </c>
      <c r="W20" s="59"/>
    </row>
    <row r="21" spans="1:23" ht="16.5" customHeight="1" x14ac:dyDescent="0.2">
      <c r="A21" s="44">
        <v>16</v>
      </c>
      <c r="B21" s="53">
        <v>3317</v>
      </c>
      <c r="C21" s="69" t="s">
        <v>730</v>
      </c>
      <c r="D21" s="103"/>
      <c r="E21" s="86"/>
      <c r="F21" s="245"/>
      <c r="G21" s="246"/>
      <c r="H21" s="241" t="s">
        <v>398</v>
      </c>
      <c r="I21" s="60" t="s">
        <v>397</v>
      </c>
      <c r="J21" s="61">
        <v>0.7</v>
      </c>
      <c r="K21" s="55"/>
      <c r="L21" s="56"/>
      <c r="M21" s="57"/>
      <c r="N21" s="47"/>
      <c r="P21" s="63"/>
      <c r="S21" s="63"/>
      <c r="T21" s="47"/>
      <c r="V21" s="58">
        <f>ROUND((ROUND((_11_A通院１０．５*_11・基礎１),0)*(1+_11・A深夜)),0)+ROUND((ROUND((_11_B通院１０．５＿２．０*_11・基礎１),0)*(1+_11・B早朝)),0)</f>
        <v>705</v>
      </c>
      <c r="W21" s="59"/>
    </row>
    <row r="22" spans="1:23" ht="16.5" customHeight="1" x14ac:dyDescent="0.2">
      <c r="A22" s="44">
        <v>16</v>
      </c>
      <c r="B22" s="53">
        <v>3318</v>
      </c>
      <c r="C22" s="69" t="s">
        <v>731</v>
      </c>
      <c r="D22" s="114"/>
      <c r="E22" s="63"/>
      <c r="F22" s="99">
        <f>_11_B通院１０．５＿２．０</f>
        <v>498</v>
      </c>
      <c r="G22" s="25" t="s">
        <v>394</v>
      </c>
      <c r="H22" s="242"/>
      <c r="I22" s="49"/>
      <c r="J22" s="50"/>
      <c r="K22" s="55" t="s">
        <v>396</v>
      </c>
      <c r="L22" s="56" t="s">
        <v>397</v>
      </c>
      <c r="M22" s="57">
        <v>1</v>
      </c>
      <c r="N22" s="47"/>
      <c r="P22" s="63"/>
      <c r="S22" s="63"/>
      <c r="T22" s="54"/>
      <c r="U22" s="49"/>
      <c r="V22" s="58">
        <f>ROUND((ROUND((ROUND((_11_A通院１０．５*_11・基礎１),0)*_11・２人),0)*(1+_11・A深夜)),0)+ROUND((ROUND((ROUND((_11_B通院１０．５＿２．０*_11・基礎１),0)*_11・２人),0)*(1+_11・B早朝)),0)</f>
        <v>705</v>
      </c>
      <c r="W22" s="59"/>
    </row>
    <row r="23" spans="1:23" ht="16.5" customHeight="1" x14ac:dyDescent="0.2">
      <c r="A23" s="44">
        <v>16</v>
      </c>
      <c r="B23" s="53">
        <v>3319</v>
      </c>
      <c r="C23" s="69" t="s">
        <v>732</v>
      </c>
      <c r="D23" s="67"/>
      <c r="F23" s="243" t="s">
        <v>1974</v>
      </c>
      <c r="G23" s="244"/>
      <c r="H23" s="62"/>
      <c r="I23" s="60"/>
      <c r="J23" s="61"/>
      <c r="K23" s="55"/>
      <c r="L23" s="56"/>
      <c r="M23" s="57"/>
      <c r="N23" s="47"/>
      <c r="P23" s="63"/>
      <c r="S23" s="63"/>
      <c r="T23" s="62"/>
      <c r="U23" s="60"/>
      <c r="V23" s="58">
        <f>ROUND((_11_A通院１０．５*(1+_11・A深夜)),0)+ROUND((_11_B通院１０．５＿２．５*(1+_11・B早朝)),0)</f>
        <v>1110</v>
      </c>
      <c r="W23" s="59"/>
    </row>
    <row r="24" spans="1:23" ht="16.5" customHeight="1" x14ac:dyDescent="0.2">
      <c r="A24" s="44">
        <v>16</v>
      </c>
      <c r="B24" s="53">
        <v>3320</v>
      </c>
      <c r="C24" s="69" t="s">
        <v>733</v>
      </c>
      <c r="D24" s="67"/>
      <c r="F24" s="245"/>
      <c r="G24" s="246"/>
      <c r="H24" s="54"/>
      <c r="I24" s="49"/>
      <c r="J24" s="50"/>
      <c r="K24" s="55" t="s">
        <v>396</v>
      </c>
      <c r="L24" s="56" t="s">
        <v>397</v>
      </c>
      <c r="M24" s="57">
        <v>1</v>
      </c>
      <c r="N24" s="47"/>
      <c r="P24" s="63"/>
      <c r="S24" s="63"/>
      <c r="T24" s="47"/>
      <c r="V24" s="58">
        <f>ROUND((ROUND((_11_A通院１０．５*_11・２人),0)*(1+_11・A深夜)),0)+ROUND((ROUND((_11_B通院１０．５＿２．５*_11・２人),0)*(1+_11・B早朝)),0)</f>
        <v>1110</v>
      </c>
      <c r="W24" s="59"/>
    </row>
    <row r="25" spans="1:23" ht="16.5" customHeight="1" x14ac:dyDescent="0.2">
      <c r="A25" s="44">
        <v>16</v>
      </c>
      <c r="B25" s="53">
        <v>3321</v>
      </c>
      <c r="C25" s="69" t="s">
        <v>734</v>
      </c>
      <c r="D25" s="67"/>
      <c r="F25" s="245"/>
      <c r="G25" s="246"/>
      <c r="H25" s="241" t="s">
        <v>398</v>
      </c>
      <c r="I25" s="60" t="s">
        <v>397</v>
      </c>
      <c r="J25" s="61">
        <v>0.7</v>
      </c>
      <c r="K25" s="55"/>
      <c r="L25" s="56"/>
      <c r="M25" s="57"/>
      <c r="N25" s="47"/>
      <c r="P25" s="63"/>
      <c r="S25" s="63"/>
      <c r="T25" s="47"/>
      <c r="V25" s="58">
        <f>ROUND((ROUND((_11_A通院１０．５*_11・基礎１),0)*(1+_11・A深夜)),0)+ROUND((ROUND((_11_B通院１０．５＿２．５*_11・基礎１),0)*(1+_11・B早朝)),0)</f>
        <v>778</v>
      </c>
      <c r="W25" s="59"/>
    </row>
    <row r="26" spans="1:23" ht="16.5" customHeight="1" x14ac:dyDescent="0.2">
      <c r="A26" s="44">
        <v>16</v>
      </c>
      <c r="B26" s="53">
        <v>3322</v>
      </c>
      <c r="C26" s="69" t="s">
        <v>735</v>
      </c>
      <c r="D26" s="67"/>
      <c r="F26" s="99">
        <f>_11_B通院１０．５＿２．５</f>
        <v>581</v>
      </c>
      <c r="G26" s="25" t="s">
        <v>394</v>
      </c>
      <c r="H26" s="242"/>
      <c r="I26" s="49"/>
      <c r="J26" s="50"/>
      <c r="K26" s="55" t="s">
        <v>396</v>
      </c>
      <c r="L26" s="56" t="s">
        <v>397</v>
      </c>
      <c r="M26" s="57">
        <v>1</v>
      </c>
      <c r="N26" s="47"/>
      <c r="P26" s="63"/>
      <c r="S26" s="63"/>
      <c r="T26" s="54"/>
      <c r="U26" s="49"/>
      <c r="V26" s="58">
        <f>ROUND((ROUND((ROUND((_11_A通院１０．５*_11・基礎１),0)*_11・２人),0)*(1+_11・A深夜)),0)+ROUND((ROUND((ROUND((_11_B通院１０．５＿２．５*_11・基礎１),0)*_11・２人),0)*(1+_11・B早朝)),0)</f>
        <v>778</v>
      </c>
      <c r="W26" s="59"/>
    </row>
    <row r="27" spans="1:23" ht="16.5" customHeight="1" x14ac:dyDescent="0.2">
      <c r="A27" s="44">
        <v>16</v>
      </c>
      <c r="B27" s="53">
        <v>3323</v>
      </c>
      <c r="C27" s="69" t="s">
        <v>736</v>
      </c>
      <c r="D27" s="243" t="s">
        <v>1958</v>
      </c>
      <c r="E27" s="244"/>
      <c r="F27" s="243" t="s">
        <v>1970</v>
      </c>
      <c r="G27" s="244"/>
      <c r="H27" s="62"/>
      <c r="I27" s="60"/>
      <c r="J27" s="61"/>
      <c r="K27" s="55"/>
      <c r="L27" s="56"/>
      <c r="M27" s="57"/>
      <c r="N27" s="47"/>
      <c r="P27" s="63"/>
      <c r="S27" s="63"/>
      <c r="T27" s="62"/>
      <c r="U27" s="60"/>
      <c r="V27" s="58">
        <f>ROUND((_11_A通院１１．０*(1+_11・A深夜)),0)+ROUND((_11_B通院１１．０＿０．５*(1+_11・B早朝)),0)</f>
        <v>835</v>
      </c>
      <c r="W27" s="59"/>
    </row>
    <row r="28" spans="1:23" ht="16.5" customHeight="1" x14ac:dyDescent="0.2">
      <c r="A28" s="44">
        <v>16</v>
      </c>
      <c r="B28" s="53">
        <v>3324</v>
      </c>
      <c r="C28" s="69" t="s">
        <v>737</v>
      </c>
      <c r="D28" s="245"/>
      <c r="E28" s="246"/>
      <c r="F28" s="245"/>
      <c r="G28" s="246"/>
      <c r="H28" s="54"/>
      <c r="I28" s="49"/>
      <c r="J28" s="50"/>
      <c r="K28" s="55" t="s">
        <v>396</v>
      </c>
      <c r="L28" s="56" t="s">
        <v>397</v>
      </c>
      <c r="M28" s="57">
        <v>1</v>
      </c>
      <c r="N28" s="47"/>
      <c r="P28" s="63"/>
      <c r="S28" s="63"/>
      <c r="T28" s="47"/>
      <c r="V28" s="58">
        <f>ROUND((ROUND((_11_A通院１１．０*_11・２人),0)*(1+_11・A深夜)),0)+ROUND((ROUND((_11_B通院１１．０＿０．５*_11・２人),0)*(1+_11・B早朝)),0)</f>
        <v>835</v>
      </c>
      <c r="W28" s="59"/>
    </row>
    <row r="29" spans="1:23" ht="16.5" customHeight="1" x14ac:dyDescent="0.2">
      <c r="A29" s="44">
        <v>16</v>
      </c>
      <c r="B29" s="53">
        <v>3325</v>
      </c>
      <c r="C29" s="69" t="s">
        <v>738</v>
      </c>
      <c r="D29" s="245"/>
      <c r="E29" s="246"/>
      <c r="F29" s="245"/>
      <c r="G29" s="246"/>
      <c r="H29" s="241" t="s">
        <v>398</v>
      </c>
      <c r="I29" s="60" t="s">
        <v>397</v>
      </c>
      <c r="J29" s="61">
        <v>0.7</v>
      </c>
      <c r="K29" s="55"/>
      <c r="L29" s="56"/>
      <c r="M29" s="57"/>
      <c r="N29" s="47"/>
      <c r="P29" s="63"/>
      <c r="S29" s="63"/>
      <c r="T29" s="47"/>
      <c r="V29" s="58">
        <f>ROUND((ROUND((_11_A通院１１．０*_11・基礎１),0)*(1+_11・A深夜)),0)+ROUND((ROUND((_11_B通院１１．０＿０．５*_11・基礎１),0)*(1+_11・B早朝)),0)</f>
        <v>585</v>
      </c>
      <c r="W29" s="59"/>
    </row>
    <row r="30" spans="1:23" ht="16.5" customHeight="1" x14ac:dyDescent="0.2">
      <c r="A30" s="44">
        <v>16</v>
      </c>
      <c r="B30" s="53">
        <v>3326</v>
      </c>
      <c r="C30" s="69" t="s">
        <v>739</v>
      </c>
      <c r="D30" s="99">
        <f>_11_A通院１１．０</f>
        <v>404</v>
      </c>
      <c r="E30" s="25" t="s">
        <v>394</v>
      </c>
      <c r="F30" s="99">
        <f>_11_B通院１１．０＿０．５</f>
        <v>183</v>
      </c>
      <c r="G30" s="25" t="s">
        <v>394</v>
      </c>
      <c r="H30" s="242"/>
      <c r="I30" s="49"/>
      <c r="J30" s="50"/>
      <c r="K30" s="55" t="s">
        <v>396</v>
      </c>
      <c r="L30" s="56" t="s">
        <v>397</v>
      </c>
      <c r="M30" s="57">
        <v>1</v>
      </c>
      <c r="N30" s="47"/>
      <c r="P30" s="63"/>
      <c r="S30" s="63"/>
      <c r="T30" s="54"/>
      <c r="U30" s="49"/>
      <c r="V30" s="58">
        <f>ROUND((ROUND((ROUND((_11_A通院１１．０*_11・基礎１),0)*_11・２人),0)*(1+_11・A深夜)),0)+ROUND((ROUND((ROUND((_11_B通院１１．０＿０．５*_11・基礎１),0)*_11・２人),0)*(1+_11・B早朝)),0)</f>
        <v>585</v>
      </c>
      <c r="W30" s="59"/>
    </row>
    <row r="31" spans="1:23" ht="16.5" customHeight="1" x14ac:dyDescent="0.2">
      <c r="A31" s="44">
        <v>16</v>
      </c>
      <c r="B31" s="53">
        <v>3327</v>
      </c>
      <c r="C31" s="69" t="s">
        <v>740</v>
      </c>
      <c r="D31" s="67"/>
      <c r="F31" s="243" t="s">
        <v>1971</v>
      </c>
      <c r="G31" s="244"/>
      <c r="H31" s="62"/>
      <c r="I31" s="60"/>
      <c r="J31" s="61"/>
      <c r="K31" s="55"/>
      <c r="L31" s="56"/>
      <c r="M31" s="57"/>
      <c r="N31" s="47"/>
      <c r="P31" s="63"/>
      <c r="S31" s="63"/>
      <c r="T31" s="62"/>
      <c r="U31" s="60"/>
      <c r="V31" s="58">
        <f>ROUND((_11_A通院１１．０*(1+_11・A深夜)),0)+ROUND((_11_B通院１１．０＿１．０*(1+_11・B早朝)),0)</f>
        <v>937</v>
      </c>
      <c r="W31" s="59"/>
    </row>
    <row r="32" spans="1:23" ht="16.5" customHeight="1" x14ac:dyDescent="0.2">
      <c r="A32" s="44">
        <v>16</v>
      </c>
      <c r="B32" s="53">
        <v>3328</v>
      </c>
      <c r="C32" s="69" t="s">
        <v>741</v>
      </c>
      <c r="D32" s="67"/>
      <c r="F32" s="245"/>
      <c r="G32" s="246"/>
      <c r="H32" s="54"/>
      <c r="I32" s="49"/>
      <c r="J32" s="50"/>
      <c r="K32" s="55" t="s">
        <v>396</v>
      </c>
      <c r="L32" s="56" t="s">
        <v>397</v>
      </c>
      <c r="M32" s="57">
        <v>1</v>
      </c>
      <c r="N32" s="47"/>
      <c r="P32" s="63"/>
      <c r="S32" s="63"/>
      <c r="T32" s="47"/>
      <c r="V32" s="58">
        <f>ROUND((ROUND((_11_A通院１１．０*_11・２人),0)*(1+_11・A深夜)),0)+ROUND((ROUND((_11_B通院１１．０＿１．０*_11・２人),0)*(1+_11・B早朝)),0)</f>
        <v>937</v>
      </c>
      <c r="W32" s="59"/>
    </row>
    <row r="33" spans="1:23" ht="16.5" customHeight="1" x14ac:dyDescent="0.2">
      <c r="A33" s="44">
        <v>16</v>
      </c>
      <c r="B33" s="53">
        <v>3329</v>
      </c>
      <c r="C33" s="69" t="s">
        <v>742</v>
      </c>
      <c r="D33" s="67"/>
      <c r="F33" s="245"/>
      <c r="G33" s="246"/>
      <c r="H33" s="241" t="s">
        <v>398</v>
      </c>
      <c r="I33" s="60" t="s">
        <v>397</v>
      </c>
      <c r="J33" s="61">
        <v>0.7</v>
      </c>
      <c r="K33" s="55"/>
      <c r="L33" s="56"/>
      <c r="M33" s="57"/>
      <c r="N33" s="47"/>
      <c r="P33" s="63"/>
      <c r="S33" s="63"/>
      <c r="T33" s="47"/>
      <c r="V33" s="58">
        <f>ROUND((ROUND((_11_A通院１１．０*_11・基礎１),0)*(1+_11・A深夜)),0)+ROUND((ROUND((_11_B通院１１．０＿１．０*_11・基礎１),0)*(1+_11・B早朝)),0)</f>
        <v>658</v>
      </c>
      <c r="W33" s="59"/>
    </row>
    <row r="34" spans="1:23" ht="16.5" customHeight="1" x14ac:dyDescent="0.2">
      <c r="A34" s="44">
        <v>16</v>
      </c>
      <c r="B34" s="53">
        <v>3330</v>
      </c>
      <c r="C34" s="69" t="s">
        <v>743</v>
      </c>
      <c r="D34" s="67"/>
      <c r="F34" s="99">
        <f>_11_B通院１１．０＿１．０</f>
        <v>265</v>
      </c>
      <c r="G34" s="25" t="s">
        <v>394</v>
      </c>
      <c r="H34" s="242"/>
      <c r="I34" s="49"/>
      <c r="J34" s="50"/>
      <c r="K34" s="55" t="s">
        <v>396</v>
      </c>
      <c r="L34" s="56" t="s">
        <v>397</v>
      </c>
      <c r="M34" s="57">
        <v>1</v>
      </c>
      <c r="N34" s="47"/>
      <c r="P34" s="63"/>
      <c r="S34" s="63"/>
      <c r="T34" s="54"/>
      <c r="U34" s="49"/>
      <c r="V34" s="58">
        <f>ROUND((ROUND((ROUND((_11_A通院１１．０*_11・基礎１),0)*_11・２人),0)*(1+_11・A深夜)),0)+ROUND((ROUND((ROUND((_11_B通院１１．０＿１．０*_11・基礎１),0)*_11・２人),0)*(1+_11・B早朝)),0)</f>
        <v>658</v>
      </c>
      <c r="W34" s="59"/>
    </row>
    <row r="35" spans="1:23" ht="16.5" customHeight="1" x14ac:dyDescent="0.2">
      <c r="A35" s="44">
        <v>16</v>
      </c>
      <c r="B35" s="53">
        <v>3331</v>
      </c>
      <c r="C35" s="69" t="s">
        <v>744</v>
      </c>
      <c r="D35" s="103"/>
      <c r="E35" s="86"/>
      <c r="F35" s="243" t="s">
        <v>1972</v>
      </c>
      <c r="G35" s="244"/>
      <c r="H35" s="62"/>
      <c r="I35" s="60"/>
      <c r="J35" s="61"/>
      <c r="K35" s="55"/>
      <c r="L35" s="56"/>
      <c r="M35" s="57"/>
      <c r="N35" s="47"/>
      <c r="P35" s="63"/>
      <c r="S35" s="63"/>
      <c r="T35" s="62"/>
      <c r="U35" s="60"/>
      <c r="V35" s="58">
        <f>ROUND((_11_A通院１１．０*(1+_11・A深夜)),0)+ROUND((_11_B通院１１．０＿１．５*(1+_11・B早朝)),0)</f>
        <v>1044</v>
      </c>
      <c r="W35" s="59"/>
    </row>
    <row r="36" spans="1:23" ht="16.5" customHeight="1" x14ac:dyDescent="0.2">
      <c r="A36" s="44">
        <v>16</v>
      </c>
      <c r="B36" s="53">
        <v>3332</v>
      </c>
      <c r="C36" s="69" t="s">
        <v>745</v>
      </c>
      <c r="D36" s="103"/>
      <c r="E36" s="86"/>
      <c r="F36" s="245"/>
      <c r="G36" s="246"/>
      <c r="H36" s="54"/>
      <c r="I36" s="49"/>
      <c r="J36" s="50"/>
      <c r="K36" s="55" t="s">
        <v>396</v>
      </c>
      <c r="L36" s="56" t="s">
        <v>397</v>
      </c>
      <c r="M36" s="57">
        <v>1</v>
      </c>
      <c r="N36" s="47"/>
      <c r="P36" s="63"/>
      <c r="S36" s="63"/>
      <c r="T36" s="47"/>
      <c r="V36" s="58">
        <f>ROUND((ROUND((_11_A通院１１．０*_11・２人),0)*(1+_11・A深夜)),0)+ROUND((ROUND((_11_B通院１１．０＿１．５*_11・２人),0)*(1+_11・B早朝)),0)</f>
        <v>1044</v>
      </c>
      <c r="W36" s="59"/>
    </row>
    <row r="37" spans="1:23" ht="16.5" customHeight="1" x14ac:dyDescent="0.2">
      <c r="A37" s="44">
        <v>16</v>
      </c>
      <c r="B37" s="53">
        <v>3333</v>
      </c>
      <c r="C37" s="69" t="s">
        <v>746</v>
      </c>
      <c r="D37" s="103"/>
      <c r="E37" s="86"/>
      <c r="F37" s="245"/>
      <c r="G37" s="246"/>
      <c r="H37" s="241" t="s">
        <v>398</v>
      </c>
      <c r="I37" s="60" t="s">
        <v>397</v>
      </c>
      <c r="J37" s="61">
        <v>0.7</v>
      </c>
      <c r="K37" s="55"/>
      <c r="L37" s="56"/>
      <c r="M37" s="57"/>
      <c r="N37" s="47"/>
      <c r="P37" s="63"/>
      <c r="S37" s="63"/>
      <c r="T37" s="47"/>
      <c r="V37" s="58">
        <f>ROUND((ROUND((_11_A通院１１．０*_11・基礎１),0)*(1+_11・A深夜)),0)+ROUND((ROUND((_11_B通院１１．０＿１．５*_11・基礎１),0)*(1+_11・B早朝)),0)</f>
        <v>731</v>
      </c>
      <c r="W37" s="59"/>
    </row>
    <row r="38" spans="1:23" ht="16.5" customHeight="1" x14ac:dyDescent="0.2">
      <c r="A38" s="44">
        <v>16</v>
      </c>
      <c r="B38" s="53">
        <v>3334</v>
      </c>
      <c r="C38" s="69" t="s">
        <v>747</v>
      </c>
      <c r="D38" s="114"/>
      <c r="E38" s="63"/>
      <c r="F38" s="99">
        <f>_11_B通院１１．０＿１．５</f>
        <v>350</v>
      </c>
      <c r="G38" s="25" t="s">
        <v>394</v>
      </c>
      <c r="H38" s="242"/>
      <c r="I38" s="49"/>
      <c r="J38" s="50"/>
      <c r="K38" s="55" t="s">
        <v>396</v>
      </c>
      <c r="L38" s="56" t="s">
        <v>397</v>
      </c>
      <c r="M38" s="57">
        <v>1</v>
      </c>
      <c r="N38" s="47"/>
      <c r="P38" s="63"/>
      <c r="S38" s="63"/>
      <c r="T38" s="54"/>
      <c r="U38" s="49"/>
      <c r="V38" s="58">
        <f>ROUND((ROUND((ROUND((_11_A通院１１．０*_11・基礎１),0)*_11・２人),0)*(1+_11・A深夜)),0)+ROUND((ROUND((ROUND((_11_B通院１１．０＿１．５*_11・基礎１),0)*_11・２人),0)*(1+_11・B早朝)),0)</f>
        <v>731</v>
      </c>
      <c r="W38" s="59"/>
    </row>
    <row r="39" spans="1:23" ht="16.5" customHeight="1" x14ac:dyDescent="0.2">
      <c r="A39" s="44">
        <v>16</v>
      </c>
      <c r="B39" s="53">
        <v>3335</v>
      </c>
      <c r="C39" s="69" t="s">
        <v>748</v>
      </c>
      <c r="D39" s="67"/>
      <c r="F39" s="243" t="s">
        <v>1973</v>
      </c>
      <c r="G39" s="244"/>
      <c r="H39" s="62"/>
      <c r="I39" s="60"/>
      <c r="J39" s="61"/>
      <c r="K39" s="55"/>
      <c r="L39" s="56"/>
      <c r="M39" s="57"/>
      <c r="N39" s="47"/>
      <c r="P39" s="63"/>
      <c r="S39" s="63"/>
      <c r="T39" s="62"/>
      <c r="U39" s="60"/>
      <c r="V39" s="58">
        <f>ROUND((_11_A通院１１．０*(1+_11・A深夜)),0)+ROUND((_11_B通院１１．０＿２．０*(1+_11・B早朝)),0)</f>
        <v>1147</v>
      </c>
      <c r="W39" s="59"/>
    </row>
    <row r="40" spans="1:23" ht="16.5" customHeight="1" x14ac:dyDescent="0.2">
      <c r="A40" s="44">
        <v>16</v>
      </c>
      <c r="B40" s="53">
        <v>3336</v>
      </c>
      <c r="C40" s="69" t="s">
        <v>749</v>
      </c>
      <c r="D40" s="67"/>
      <c r="F40" s="245"/>
      <c r="G40" s="246"/>
      <c r="H40" s="54"/>
      <c r="I40" s="49"/>
      <c r="J40" s="50"/>
      <c r="K40" s="55" t="s">
        <v>396</v>
      </c>
      <c r="L40" s="56" t="s">
        <v>397</v>
      </c>
      <c r="M40" s="57">
        <v>1</v>
      </c>
      <c r="N40" s="47"/>
      <c r="P40" s="63"/>
      <c r="S40" s="63"/>
      <c r="T40" s="47"/>
      <c r="V40" s="58">
        <f>ROUND((ROUND((_11_A通院１１．０*_11・２人),0)*(1+_11・A深夜)),0)+ROUND((ROUND((_11_B通院１１．０＿２．０*_11・２人),0)*(1+_11・B早朝)),0)</f>
        <v>1147</v>
      </c>
      <c r="W40" s="59"/>
    </row>
    <row r="41" spans="1:23" ht="16.5" customHeight="1" x14ac:dyDescent="0.2">
      <c r="A41" s="44">
        <v>16</v>
      </c>
      <c r="B41" s="53">
        <v>3337</v>
      </c>
      <c r="C41" s="69" t="s">
        <v>750</v>
      </c>
      <c r="D41" s="67"/>
      <c r="F41" s="245"/>
      <c r="G41" s="246"/>
      <c r="H41" s="241" t="s">
        <v>398</v>
      </c>
      <c r="I41" s="60" t="s">
        <v>397</v>
      </c>
      <c r="J41" s="61">
        <v>0.7</v>
      </c>
      <c r="K41" s="55"/>
      <c r="L41" s="56"/>
      <c r="M41" s="57"/>
      <c r="N41" s="47"/>
      <c r="P41" s="63"/>
      <c r="S41" s="63"/>
      <c r="T41" s="47"/>
      <c r="V41" s="58">
        <f>ROUND((ROUND((_11_A通院１１．０*_11・基礎１),0)*(1+_11・A深夜)),0)+ROUND((ROUND((_11_B通院１１．０＿２．０*_11・基礎１),0)*(1+_11・B早朝)),0)</f>
        <v>804</v>
      </c>
      <c r="W41" s="59"/>
    </row>
    <row r="42" spans="1:23" ht="16.5" customHeight="1" x14ac:dyDescent="0.2">
      <c r="A42" s="44">
        <v>16</v>
      </c>
      <c r="B42" s="53">
        <v>3338</v>
      </c>
      <c r="C42" s="69" t="s">
        <v>751</v>
      </c>
      <c r="D42" s="67"/>
      <c r="F42" s="99">
        <f>_11_B通院１１．０＿２．０</f>
        <v>433</v>
      </c>
      <c r="G42" s="25" t="s">
        <v>394</v>
      </c>
      <c r="H42" s="242"/>
      <c r="I42" s="49"/>
      <c r="J42" s="50"/>
      <c r="K42" s="55" t="s">
        <v>396</v>
      </c>
      <c r="L42" s="56" t="s">
        <v>397</v>
      </c>
      <c r="M42" s="57">
        <v>1</v>
      </c>
      <c r="N42" s="47"/>
      <c r="P42" s="63"/>
      <c r="S42" s="63"/>
      <c r="T42" s="54"/>
      <c r="U42" s="49"/>
      <c r="V42" s="58">
        <f>ROUND((ROUND((ROUND((_11_A通院１１．０*_11・基礎１),0)*_11・２人),0)*(1+_11・A深夜)),0)+ROUND((ROUND((ROUND((_11_B通院１１．０＿２．０*_11・基礎１),0)*_11・２人),0)*(1+_11・B早朝)),0)</f>
        <v>804</v>
      </c>
      <c r="W42" s="59"/>
    </row>
    <row r="43" spans="1:23" ht="16.5" customHeight="1" x14ac:dyDescent="0.2">
      <c r="A43" s="44">
        <v>16</v>
      </c>
      <c r="B43" s="53">
        <v>3339</v>
      </c>
      <c r="C43" s="69" t="s">
        <v>752</v>
      </c>
      <c r="D43" s="243" t="s">
        <v>1959</v>
      </c>
      <c r="E43" s="244"/>
      <c r="F43" s="243" t="s">
        <v>1970</v>
      </c>
      <c r="G43" s="244"/>
      <c r="H43" s="62"/>
      <c r="I43" s="60"/>
      <c r="J43" s="61"/>
      <c r="K43" s="55"/>
      <c r="L43" s="56"/>
      <c r="M43" s="57"/>
      <c r="N43" s="67"/>
      <c r="O43" s="176"/>
      <c r="P43" s="63"/>
      <c r="Q43" s="80"/>
      <c r="R43" s="176"/>
      <c r="S43" s="63"/>
      <c r="T43" s="62"/>
      <c r="U43" s="60"/>
      <c r="V43" s="58">
        <f>ROUND((_11_A通院１１．５*(1+_11・A深夜)),0)+ROUND((_11_B通院１１．５＿０．５*(1+_11・B早朝)),0)</f>
        <v>984</v>
      </c>
      <c r="W43" s="52"/>
    </row>
    <row r="44" spans="1:23" ht="16.5" customHeight="1" x14ac:dyDescent="0.2">
      <c r="A44" s="44">
        <v>16</v>
      </c>
      <c r="B44" s="53">
        <v>3340</v>
      </c>
      <c r="C44" s="69" t="s">
        <v>753</v>
      </c>
      <c r="D44" s="245"/>
      <c r="E44" s="246"/>
      <c r="F44" s="245"/>
      <c r="G44" s="246"/>
      <c r="H44" s="54"/>
      <c r="I44" s="49"/>
      <c r="J44" s="50"/>
      <c r="K44" s="55" t="s">
        <v>396</v>
      </c>
      <c r="L44" s="56" t="s">
        <v>397</v>
      </c>
      <c r="M44" s="57">
        <v>1</v>
      </c>
      <c r="N44" s="47"/>
      <c r="O44" s="176"/>
      <c r="P44" s="248"/>
      <c r="Q44" s="175"/>
      <c r="R44" s="176"/>
      <c r="S44" s="248"/>
      <c r="T44" s="47"/>
      <c r="V44" s="58">
        <f>ROUND((ROUND((_11_A通院１１．５*_11・２人),0)*(1+_11・A深夜)),0)+ROUND((ROUND((_11_B通院１１．５＿０．５*_11・２人),0)*(1+_11・B早朝)),0)</f>
        <v>984</v>
      </c>
      <c r="W44" s="59"/>
    </row>
    <row r="45" spans="1:23" ht="16.5" customHeight="1" x14ac:dyDescent="0.2">
      <c r="A45" s="44">
        <v>16</v>
      </c>
      <c r="B45" s="53">
        <v>3341</v>
      </c>
      <c r="C45" s="69" t="s">
        <v>754</v>
      </c>
      <c r="D45" s="245"/>
      <c r="E45" s="246"/>
      <c r="F45" s="245"/>
      <c r="G45" s="246"/>
      <c r="H45" s="241" t="s">
        <v>398</v>
      </c>
      <c r="I45" s="60" t="s">
        <v>397</v>
      </c>
      <c r="J45" s="61">
        <v>0.7</v>
      </c>
      <c r="K45" s="55"/>
      <c r="L45" s="56"/>
      <c r="M45" s="57"/>
      <c r="N45" s="47"/>
      <c r="O45" s="176"/>
      <c r="P45" s="248"/>
      <c r="Q45" s="175"/>
      <c r="R45" s="176"/>
      <c r="S45" s="248"/>
      <c r="T45" s="47"/>
      <c r="V45" s="58">
        <f>ROUND((ROUND((_11_A通院１１．５*_11・基礎１),0)*(1+_11・A深夜)),0)+ROUND((ROUND((_11_B通院１１．５＿０．５*_11・基礎１),0)*(1+_11・B早朝)),0)</f>
        <v>688</v>
      </c>
      <c r="W45" s="59"/>
    </row>
    <row r="46" spans="1:23" ht="16.5" customHeight="1" x14ac:dyDescent="0.2">
      <c r="A46" s="44">
        <v>16</v>
      </c>
      <c r="B46" s="53">
        <v>3342</v>
      </c>
      <c r="C46" s="69" t="s">
        <v>755</v>
      </c>
      <c r="D46" s="99">
        <f>_11_A通院１１．５</f>
        <v>587</v>
      </c>
      <c r="E46" s="25" t="s">
        <v>394</v>
      </c>
      <c r="F46" s="99">
        <f>_11_B通院１１．５＿０．５</f>
        <v>82</v>
      </c>
      <c r="G46" s="25" t="s">
        <v>394</v>
      </c>
      <c r="H46" s="242"/>
      <c r="I46" s="49"/>
      <c r="J46" s="50"/>
      <c r="K46" s="55" t="s">
        <v>396</v>
      </c>
      <c r="L46" s="56" t="s">
        <v>397</v>
      </c>
      <c r="M46" s="57">
        <v>1</v>
      </c>
      <c r="N46" s="47"/>
      <c r="P46" s="63"/>
      <c r="S46" s="63"/>
      <c r="T46" s="54"/>
      <c r="U46" s="49"/>
      <c r="V46" s="58">
        <f>ROUND((ROUND((ROUND((_11_A通院１１．５*_11・基礎１),0)*_11・２人),0)*(1+_11・A深夜)),0)+ROUND((ROUND((ROUND((_11_B通院１１．５＿０．５*_11・基礎１),0)*_11・２人),0)*(1+_11・B早朝)),0)</f>
        <v>688</v>
      </c>
      <c r="W46" s="59"/>
    </row>
    <row r="47" spans="1:23" ht="16.5" customHeight="1" x14ac:dyDescent="0.2">
      <c r="A47" s="44">
        <v>16</v>
      </c>
      <c r="B47" s="44">
        <v>3343</v>
      </c>
      <c r="C47" s="45" t="s">
        <v>756</v>
      </c>
      <c r="D47" s="67"/>
      <c r="E47" s="63"/>
      <c r="F47" s="245" t="s">
        <v>1971</v>
      </c>
      <c r="G47" s="246"/>
      <c r="H47" s="47"/>
      <c r="K47" s="48"/>
      <c r="L47" s="49"/>
      <c r="M47" s="50"/>
      <c r="N47" s="47"/>
      <c r="P47" s="63"/>
      <c r="S47" s="63"/>
      <c r="T47" s="47"/>
      <c r="V47" s="51">
        <f>ROUND((_11_A通院１１．５*(1+_11・A深夜)),0)+ROUND((_11_B通院１１．５＿１．０*(1+_11・B早朝)),0)</f>
        <v>1090</v>
      </c>
      <c r="W47" s="59"/>
    </row>
    <row r="48" spans="1:23" ht="16.5" customHeight="1" x14ac:dyDescent="0.2">
      <c r="A48" s="44">
        <v>16</v>
      </c>
      <c r="B48" s="53">
        <v>3344</v>
      </c>
      <c r="C48" s="69" t="s">
        <v>757</v>
      </c>
      <c r="D48" s="67"/>
      <c r="E48" s="63"/>
      <c r="F48" s="245"/>
      <c r="G48" s="246"/>
      <c r="H48" s="54"/>
      <c r="I48" s="49"/>
      <c r="J48" s="50"/>
      <c r="K48" s="55" t="s">
        <v>396</v>
      </c>
      <c r="L48" s="56" t="s">
        <v>397</v>
      </c>
      <c r="M48" s="57">
        <v>1</v>
      </c>
      <c r="N48" s="47"/>
      <c r="P48" s="63"/>
      <c r="S48" s="63"/>
      <c r="T48" s="47"/>
      <c r="V48" s="58">
        <f>ROUND((ROUND((_11_A通院１１．５*_11・２人),0)*(1+_11・A深夜)),0)+ROUND((ROUND((_11_B通院１１．５＿１．０*_11・２人),0)*(1+_11・B早朝)),0)</f>
        <v>1090</v>
      </c>
      <c r="W48" s="59"/>
    </row>
    <row r="49" spans="1:23" ht="16.5" customHeight="1" x14ac:dyDescent="0.2">
      <c r="A49" s="44">
        <v>16</v>
      </c>
      <c r="B49" s="53">
        <v>3345</v>
      </c>
      <c r="C49" s="69" t="s">
        <v>758</v>
      </c>
      <c r="D49" s="67"/>
      <c r="E49" s="63"/>
      <c r="F49" s="245"/>
      <c r="G49" s="246"/>
      <c r="H49" s="241" t="s">
        <v>398</v>
      </c>
      <c r="I49" s="60" t="s">
        <v>397</v>
      </c>
      <c r="J49" s="61">
        <v>0.7</v>
      </c>
      <c r="K49" s="55"/>
      <c r="L49" s="56"/>
      <c r="M49" s="57"/>
      <c r="N49" s="47"/>
      <c r="P49" s="63"/>
      <c r="S49" s="63"/>
      <c r="T49" s="47"/>
      <c r="V49" s="58">
        <f>ROUND((ROUND((_11_A通院１１．５*_11・基礎１),0)*(1+_11・A深夜)),0)+ROUND((ROUND((_11_B通院１１．５＿１．０*_11・基礎１),0)*(1+_11・B早朝)),0)</f>
        <v>763</v>
      </c>
      <c r="W49" s="59"/>
    </row>
    <row r="50" spans="1:23" ht="16.5" customHeight="1" x14ac:dyDescent="0.2">
      <c r="A50" s="44">
        <v>16</v>
      </c>
      <c r="B50" s="53">
        <v>3346</v>
      </c>
      <c r="C50" s="69" t="s">
        <v>759</v>
      </c>
      <c r="D50" s="67"/>
      <c r="E50" s="63"/>
      <c r="F50" s="99">
        <f>_11_B通院１１．５＿１．０</f>
        <v>167</v>
      </c>
      <c r="G50" s="25" t="s">
        <v>394</v>
      </c>
      <c r="H50" s="242"/>
      <c r="I50" s="49"/>
      <c r="J50" s="50"/>
      <c r="K50" s="55" t="s">
        <v>396</v>
      </c>
      <c r="L50" s="56" t="s">
        <v>397</v>
      </c>
      <c r="M50" s="57">
        <v>1</v>
      </c>
      <c r="N50" s="47"/>
      <c r="P50" s="63"/>
      <c r="S50" s="63"/>
      <c r="T50" s="54"/>
      <c r="U50" s="49"/>
      <c r="V50" s="58">
        <f>ROUND((ROUND((ROUND((_11_A通院１１．５*_11・基礎１),0)*_11・２人),0)*(1+_11・A深夜)),0)+ROUND((ROUND((ROUND((_11_B通院１１．５＿１．０*_11・基礎１),0)*_11・２人),0)*(1+_11・B早朝)),0)</f>
        <v>763</v>
      </c>
      <c r="W50" s="59"/>
    </row>
    <row r="51" spans="1:23" ht="16.5" customHeight="1" x14ac:dyDescent="0.2">
      <c r="A51" s="44">
        <v>16</v>
      </c>
      <c r="B51" s="53">
        <v>3347</v>
      </c>
      <c r="C51" s="69" t="s">
        <v>760</v>
      </c>
      <c r="D51" s="103"/>
      <c r="E51" s="86"/>
      <c r="F51" s="243" t="s">
        <v>1972</v>
      </c>
      <c r="G51" s="244"/>
      <c r="H51" s="62"/>
      <c r="I51" s="60"/>
      <c r="J51" s="61"/>
      <c r="K51" s="55"/>
      <c r="L51" s="56"/>
      <c r="M51" s="57"/>
      <c r="N51" s="47"/>
      <c r="P51" s="63"/>
      <c r="S51" s="63"/>
      <c r="T51" s="62"/>
      <c r="U51" s="60"/>
      <c r="V51" s="58">
        <f>ROUND((_11_A通院１１．５*(1+_11・A深夜)),0)+ROUND((_11_B通院１１．５＿１．５*(1+_11・B早朝)),0)</f>
        <v>1194</v>
      </c>
      <c r="W51" s="59"/>
    </row>
    <row r="52" spans="1:23" ht="16.5" customHeight="1" x14ac:dyDescent="0.2">
      <c r="A52" s="44">
        <v>16</v>
      </c>
      <c r="B52" s="53">
        <v>3348</v>
      </c>
      <c r="C52" s="69" t="s">
        <v>761</v>
      </c>
      <c r="D52" s="103"/>
      <c r="E52" s="86"/>
      <c r="F52" s="245"/>
      <c r="G52" s="246"/>
      <c r="H52" s="54"/>
      <c r="I52" s="49"/>
      <c r="J52" s="50"/>
      <c r="K52" s="55" t="s">
        <v>396</v>
      </c>
      <c r="L52" s="56" t="s">
        <v>397</v>
      </c>
      <c r="M52" s="57">
        <v>1</v>
      </c>
      <c r="N52" s="47"/>
      <c r="P52" s="63"/>
      <c r="S52" s="63"/>
      <c r="T52" s="47"/>
      <c r="V52" s="58">
        <f>ROUND((ROUND((_11_A通院１１．５*_11・２人),0)*(1+_11・A深夜)),0)+ROUND((ROUND((_11_B通院１１．５＿１．５*_11・２人),0)*(1+_11・B早朝)),0)</f>
        <v>1194</v>
      </c>
      <c r="W52" s="59"/>
    </row>
    <row r="53" spans="1:23" ht="16.5" customHeight="1" x14ac:dyDescent="0.2">
      <c r="A53" s="44">
        <v>16</v>
      </c>
      <c r="B53" s="53">
        <v>3349</v>
      </c>
      <c r="C53" s="69" t="s">
        <v>762</v>
      </c>
      <c r="D53" s="103"/>
      <c r="E53" s="86"/>
      <c r="F53" s="245"/>
      <c r="G53" s="246"/>
      <c r="H53" s="241" t="s">
        <v>398</v>
      </c>
      <c r="I53" s="60" t="s">
        <v>397</v>
      </c>
      <c r="J53" s="61">
        <v>0.7</v>
      </c>
      <c r="K53" s="55"/>
      <c r="L53" s="56"/>
      <c r="M53" s="57"/>
      <c r="N53" s="47"/>
      <c r="P53" s="63"/>
      <c r="S53" s="63"/>
      <c r="T53" s="47"/>
      <c r="V53" s="58">
        <f>ROUND((ROUND((_11_A通院１１．５*_11・基礎１),0)*(1+_11・A深夜)),0)+ROUND((ROUND((_11_B通院１１．５＿１．５*_11・基礎１),0)*(1+_11・B早朝)),0)</f>
        <v>836</v>
      </c>
      <c r="W53" s="59"/>
    </row>
    <row r="54" spans="1:23" ht="16.5" customHeight="1" x14ac:dyDescent="0.2">
      <c r="A54" s="44">
        <v>16</v>
      </c>
      <c r="B54" s="53">
        <v>3350</v>
      </c>
      <c r="C54" s="69" t="s">
        <v>763</v>
      </c>
      <c r="D54" s="114"/>
      <c r="E54" s="63"/>
      <c r="F54" s="99">
        <f>_11_B通院１１．５＿１．５</f>
        <v>250</v>
      </c>
      <c r="G54" s="25" t="s">
        <v>394</v>
      </c>
      <c r="H54" s="242"/>
      <c r="I54" s="49"/>
      <c r="J54" s="50"/>
      <c r="K54" s="55" t="s">
        <v>396</v>
      </c>
      <c r="L54" s="56" t="s">
        <v>397</v>
      </c>
      <c r="M54" s="57">
        <v>1</v>
      </c>
      <c r="N54" s="47"/>
      <c r="P54" s="63"/>
      <c r="S54" s="63"/>
      <c r="T54" s="54"/>
      <c r="U54" s="49"/>
      <c r="V54" s="58">
        <f>ROUND((ROUND((ROUND((_11_A通院１１．５*_11・基礎１),0)*_11・２人),0)*(1+_11・A深夜)),0)+ROUND((ROUND((ROUND((_11_B通院１１．５＿１．５*_11・基礎１),0)*_11・２人),0)*(1+_11・B早朝)),0)</f>
        <v>836</v>
      </c>
      <c r="W54" s="59"/>
    </row>
    <row r="55" spans="1:23" ht="16.5" customHeight="1" x14ac:dyDescent="0.2">
      <c r="A55" s="44">
        <v>16</v>
      </c>
      <c r="B55" s="53">
        <v>3351</v>
      </c>
      <c r="C55" s="69" t="s">
        <v>764</v>
      </c>
      <c r="D55" s="243" t="s">
        <v>1960</v>
      </c>
      <c r="E55" s="244"/>
      <c r="F55" s="243" t="s">
        <v>1970</v>
      </c>
      <c r="G55" s="244"/>
      <c r="H55" s="62"/>
      <c r="I55" s="60"/>
      <c r="J55" s="61"/>
      <c r="K55" s="55"/>
      <c r="L55" s="56"/>
      <c r="M55" s="57"/>
      <c r="N55" s="47"/>
      <c r="P55" s="63"/>
      <c r="S55" s="63"/>
      <c r="T55" s="62"/>
      <c r="U55" s="60"/>
      <c r="V55" s="58">
        <f>ROUND((_11_A通院１２．０*(1+_11・A深夜)),0)+ROUND((_11_B通院１２．０＿０．５*(1+_11・B早朝)),0)</f>
        <v>1110</v>
      </c>
      <c r="W55" s="59"/>
    </row>
    <row r="56" spans="1:23" ht="16.5" customHeight="1" x14ac:dyDescent="0.2">
      <c r="A56" s="44">
        <v>16</v>
      </c>
      <c r="B56" s="53">
        <v>3352</v>
      </c>
      <c r="C56" s="69" t="s">
        <v>765</v>
      </c>
      <c r="D56" s="245"/>
      <c r="E56" s="246"/>
      <c r="F56" s="245"/>
      <c r="G56" s="246"/>
      <c r="H56" s="54"/>
      <c r="I56" s="49"/>
      <c r="J56" s="50"/>
      <c r="K56" s="55" t="s">
        <v>396</v>
      </c>
      <c r="L56" s="56" t="s">
        <v>397</v>
      </c>
      <c r="M56" s="57">
        <v>1</v>
      </c>
      <c r="N56" s="47"/>
      <c r="P56" s="63"/>
      <c r="S56" s="63"/>
      <c r="T56" s="47"/>
      <c r="V56" s="58">
        <f>ROUND((ROUND((_11_A通院１２．０*_11・２人),0)*(1+_11・A深夜)),0)+ROUND((ROUND((_11_B通院１２．０＿０．５*_11・２人),0)*(1+_11・B早朝)),0)</f>
        <v>1110</v>
      </c>
      <c r="W56" s="59"/>
    </row>
    <row r="57" spans="1:23" ht="16.5" customHeight="1" x14ac:dyDescent="0.2">
      <c r="A57" s="44">
        <v>16</v>
      </c>
      <c r="B57" s="53">
        <v>3353</v>
      </c>
      <c r="C57" s="69" t="s">
        <v>766</v>
      </c>
      <c r="D57" s="245"/>
      <c r="E57" s="246"/>
      <c r="F57" s="245"/>
      <c r="G57" s="246"/>
      <c r="H57" s="241" t="s">
        <v>398</v>
      </c>
      <c r="I57" s="60" t="s">
        <v>397</v>
      </c>
      <c r="J57" s="61">
        <v>0.7</v>
      </c>
      <c r="K57" s="55"/>
      <c r="L57" s="56"/>
      <c r="M57" s="57"/>
      <c r="N57" s="47"/>
      <c r="P57" s="63"/>
      <c r="S57" s="63"/>
      <c r="T57" s="47"/>
      <c r="V57" s="58">
        <f>ROUND((ROUND((_11_A通院１２．０*_11・基礎１),0)*(1+_11・A深夜)),0)+ROUND((ROUND((_11_B通院１２．０＿０．５*_11・基礎１),0)*(1+_11・B早朝)),0)</f>
        <v>777</v>
      </c>
      <c r="W57" s="59"/>
    </row>
    <row r="58" spans="1:23" ht="16.5" customHeight="1" x14ac:dyDescent="0.2">
      <c r="A58" s="44">
        <v>16</v>
      </c>
      <c r="B58" s="53">
        <v>3354</v>
      </c>
      <c r="C58" s="69" t="s">
        <v>767</v>
      </c>
      <c r="D58" s="99">
        <f>_11_A通院１２．０</f>
        <v>669</v>
      </c>
      <c r="E58" s="25" t="s">
        <v>394</v>
      </c>
      <c r="F58" s="99">
        <f>_11_B通院１２．０＿０．５</f>
        <v>85</v>
      </c>
      <c r="G58" s="25" t="s">
        <v>394</v>
      </c>
      <c r="H58" s="242"/>
      <c r="I58" s="49"/>
      <c r="J58" s="50"/>
      <c r="K58" s="55" t="s">
        <v>396</v>
      </c>
      <c r="L58" s="56" t="s">
        <v>397</v>
      </c>
      <c r="M58" s="57">
        <v>1</v>
      </c>
      <c r="N58" s="47"/>
      <c r="P58" s="63"/>
      <c r="S58" s="63"/>
      <c r="T58" s="54"/>
      <c r="U58" s="49"/>
      <c r="V58" s="58">
        <f>ROUND((ROUND((ROUND((_11_A通院１２．０*_11・基礎１),0)*_11・２人),0)*(1+_11・A深夜)),0)+ROUND((ROUND((ROUND((_11_B通院１２．０＿０．５*_11・基礎１),0)*_11・２人),0)*(1+_11・B早朝)),0)</f>
        <v>777</v>
      </c>
      <c r="W58" s="59"/>
    </row>
    <row r="59" spans="1:23" ht="16.5" customHeight="1" x14ac:dyDescent="0.2">
      <c r="A59" s="44">
        <v>16</v>
      </c>
      <c r="B59" s="53">
        <v>3355</v>
      </c>
      <c r="C59" s="69" t="s">
        <v>768</v>
      </c>
      <c r="D59" s="67"/>
      <c r="F59" s="243" t="s">
        <v>1971</v>
      </c>
      <c r="G59" s="244"/>
      <c r="H59" s="62"/>
      <c r="I59" s="60"/>
      <c r="J59" s="61"/>
      <c r="K59" s="55"/>
      <c r="L59" s="56"/>
      <c r="M59" s="57"/>
      <c r="N59" s="47"/>
      <c r="P59" s="63"/>
      <c r="S59" s="63"/>
      <c r="T59" s="62"/>
      <c r="U59" s="60"/>
      <c r="V59" s="58">
        <f>ROUND((_11_A通院１２．０*(1+_11・A深夜)),0)+ROUND((_11_B通院１２．０＿１．０*(1+_11・B早朝)),0)</f>
        <v>1214</v>
      </c>
      <c r="W59" s="59"/>
    </row>
    <row r="60" spans="1:23" ht="16.5" customHeight="1" x14ac:dyDescent="0.2">
      <c r="A60" s="44">
        <v>16</v>
      </c>
      <c r="B60" s="53">
        <v>3356</v>
      </c>
      <c r="C60" s="69" t="s">
        <v>769</v>
      </c>
      <c r="D60" s="67"/>
      <c r="F60" s="245"/>
      <c r="G60" s="246"/>
      <c r="H60" s="54"/>
      <c r="I60" s="49"/>
      <c r="J60" s="50"/>
      <c r="K60" s="55" t="s">
        <v>396</v>
      </c>
      <c r="L60" s="56" t="s">
        <v>397</v>
      </c>
      <c r="M60" s="57">
        <v>1</v>
      </c>
      <c r="N60" s="47"/>
      <c r="P60" s="63"/>
      <c r="S60" s="63"/>
      <c r="T60" s="47"/>
      <c r="V60" s="58">
        <f>ROUND((ROUND((_11_A通院１２．０*_11・２人),0)*(1+_11・A深夜)),0)+ROUND((ROUND((_11_B通院１２．０＿１．０*_11・２人),0)*(1+_11・B早朝)),0)</f>
        <v>1214</v>
      </c>
      <c r="W60" s="59"/>
    </row>
    <row r="61" spans="1:23" ht="16.5" customHeight="1" x14ac:dyDescent="0.2">
      <c r="A61" s="44">
        <v>16</v>
      </c>
      <c r="B61" s="53">
        <v>3357</v>
      </c>
      <c r="C61" s="69" t="s">
        <v>770</v>
      </c>
      <c r="D61" s="67"/>
      <c r="F61" s="245"/>
      <c r="G61" s="246"/>
      <c r="H61" s="241" t="s">
        <v>398</v>
      </c>
      <c r="I61" s="60" t="s">
        <v>397</v>
      </c>
      <c r="J61" s="61">
        <v>0.7</v>
      </c>
      <c r="K61" s="55"/>
      <c r="L61" s="56"/>
      <c r="M61" s="57"/>
      <c r="N61" s="47"/>
      <c r="P61" s="63"/>
      <c r="S61" s="63"/>
      <c r="T61" s="47"/>
      <c r="V61" s="58">
        <f>ROUND((ROUND((_11_A通院１２．０*_11・基礎１),0)*(1+_11・A深夜)),0)+ROUND((ROUND((_11_B通院１２．０＿１．０*_11・基礎１),0)*(1+_11・B早朝)),0)</f>
        <v>850</v>
      </c>
      <c r="W61" s="59"/>
    </row>
    <row r="62" spans="1:23" ht="16.5" customHeight="1" x14ac:dyDescent="0.2">
      <c r="A62" s="44">
        <v>16</v>
      </c>
      <c r="B62" s="53">
        <v>3358</v>
      </c>
      <c r="C62" s="69" t="s">
        <v>771</v>
      </c>
      <c r="D62" s="67"/>
      <c r="F62" s="99">
        <f>_11_B通院１２．０＿１．０</f>
        <v>168</v>
      </c>
      <c r="G62" s="25" t="s">
        <v>394</v>
      </c>
      <c r="H62" s="242"/>
      <c r="I62" s="49"/>
      <c r="J62" s="50"/>
      <c r="K62" s="55" t="s">
        <v>396</v>
      </c>
      <c r="L62" s="56" t="s">
        <v>397</v>
      </c>
      <c r="M62" s="57">
        <v>1</v>
      </c>
      <c r="N62" s="47"/>
      <c r="P62" s="63"/>
      <c r="S62" s="63"/>
      <c r="T62" s="54"/>
      <c r="U62" s="49"/>
      <c r="V62" s="58">
        <f>ROUND((ROUND((ROUND((_11_A通院１２．０*_11・基礎１),0)*_11・２人),0)*(1+_11・A深夜)),0)+ROUND((ROUND((ROUND((_11_B通院１２．０＿１．０*_11・基礎１),0)*_11・２人),0)*(1+_11・B早朝)),0)</f>
        <v>850</v>
      </c>
      <c r="W62" s="59"/>
    </row>
    <row r="63" spans="1:23" ht="16.5" customHeight="1" x14ac:dyDescent="0.2">
      <c r="A63" s="44">
        <v>16</v>
      </c>
      <c r="B63" s="53">
        <v>3359</v>
      </c>
      <c r="C63" s="69" t="s">
        <v>772</v>
      </c>
      <c r="D63" s="243" t="s">
        <v>1961</v>
      </c>
      <c r="E63" s="244"/>
      <c r="F63" s="243" t="s">
        <v>1970</v>
      </c>
      <c r="G63" s="244"/>
      <c r="H63" s="62"/>
      <c r="I63" s="60"/>
      <c r="J63" s="61"/>
      <c r="K63" s="55"/>
      <c r="L63" s="56"/>
      <c r="M63" s="57"/>
      <c r="N63" s="47"/>
      <c r="O63" s="176"/>
      <c r="P63" s="63"/>
      <c r="Q63" s="175"/>
      <c r="R63" s="176"/>
      <c r="S63" s="63"/>
      <c r="T63" s="62"/>
      <c r="U63" s="60"/>
      <c r="V63" s="58">
        <f>ROUND((_11_A通院１２．５*(1+_11・A深夜)),0)+ROUND((_11_B通院１２．５＿０．５*(1+_11・B早朝)),0)</f>
        <v>1235</v>
      </c>
      <c r="W63" s="59"/>
    </row>
    <row r="64" spans="1:23" ht="16.5" customHeight="1" x14ac:dyDescent="0.2">
      <c r="A64" s="44">
        <v>16</v>
      </c>
      <c r="B64" s="53">
        <v>3360</v>
      </c>
      <c r="C64" s="69" t="s">
        <v>773</v>
      </c>
      <c r="D64" s="245"/>
      <c r="E64" s="246"/>
      <c r="F64" s="245"/>
      <c r="G64" s="246"/>
      <c r="H64" s="54"/>
      <c r="I64" s="49"/>
      <c r="J64" s="50"/>
      <c r="K64" s="55" t="s">
        <v>396</v>
      </c>
      <c r="L64" s="56" t="s">
        <v>397</v>
      </c>
      <c r="M64" s="57">
        <v>1</v>
      </c>
      <c r="N64" s="47"/>
      <c r="O64" s="176"/>
      <c r="P64" s="63"/>
      <c r="Q64" s="175"/>
      <c r="R64" s="176"/>
      <c r="S64" s="63"/>
      <c r="T64" s="47"/>
      <c r="U64" s="175"/>
      <c r="V64" s="58">
        <f>ROUND((ROUND((_11_A通院１２．５*_11・２人),0)*(1+_11・A深夜)),0)+ROUND((ROUND((_11_B通院１２．５＿０．５*_11・２人),0)*(1+_11・B早朝)),0)</f>
        <v>1235</v>
      </c>
      <c r="W64" s="59"/>
    </row>
    <row r="65" spans="1:23" ht="16.5" customHeight="1" x14ac:dyDescent="0.2">
      <c r="A65" s="44">
        <v>16</v>
      </c>
      <c r="B65" s="53">
        <v>3361</v>
      </c>
      <c r="C65" s="69" t="s">
        <v>774</v>
      </c>
      <c r="D65" s="245"/>
      <c r="E65" s="246"/>
      <c r="F65" s="245"/>
      <c r="G65" s="246"/>
      <c r="H65" s="241" t="s">
        <v>398</v>
      </c>
      <c r="I65" s="60" t="s">
        <v>397</v>
      </c>
      <c r="J65" s="61">
        <v>0.7</v>
      </c>
      <c r="K65" s="55"/>
      <c r="L65" s="56"/>
      <c r="M65" s="57"/>
      <c r="N65" s="47"/>
      <c r="O65" s="176"/>
      <c r="P65" s="63"/>
      <c r="Q65" s="175"/>
      <c r="R65" s="176"/>
      <c r="S65" s="63"/>
      <c r="T65" s="47"/>
      <c r="U65" s="175"/>
      <c r="V65" s="58">
        <f>ROUND((ROUND((_11_A通院１２．５*_11・基礎１),0)*(1+_11・A深夜)),0)+ROUND((ROUND((_11_B通院１２．５＿０．５*_11・基礎１),0)*(1+_11・B早朝)),0)</f>
        <v>865</v>
      </c>
      <c r="W65" s="59"/>
    </row>
    <row r="66" spans="1:23" ht="16.5" customHeight="1" x14ac:dyDescent="0.2">
      <c r="A66" s="44">
        <v>16</v>
      </c>
      <c r="B66" s="53">
        <v>3362</v>
      </c>
      <c r="C66" s="69" t="s">
        <v>775</v>
      </c>
      <c r="D66" s="112">
        <f>_11_A通院１２．５</f>
        <v>754</v>
      </c>
      <c r="E66" s="49" t="s">
        <v>394</v>
      </c>
      <c r="F66" s="112">
        <f>_11_B通院１２．５＿０．５</f>
        <v>83</v>
      </c>
      <c r="G66" s="49" t="s">
        <v>394</v>
      </c>
      <c r="H66" s="242"/>
      <c r="I66" s="49"/>
      <c r="J66" s="50"/>
      <c r="K66" s="55" t="s">
        <v>396</v>
      </c>
      <c r="L66" s="56" t="s">
        <v>397</v>
      </c>
      <c r="M66" s="57">
        <v>1</v>
      </c>
      <c r="N66" s="54"/>
      <c r="O66" s="50"/>
      <c r="P66" s="97"/>
      <c r="Q66" s="49"/>
      <c r="R66" s="50"/>
      <c r="S66" s="97"/>
      <c r="T66" s="54"/>
      <c r="U66" s="49"/>
      <c r="V66" s="58">
        <f>ROUND((ROUND((ROUND((_11_A通院１２．５*_11・基礎１),0)*_11・２人),0)*(1+_11・A深夜)),0)+ROUND((ROUND((ROUND((_11_B通院１２．５＿０．５*_11・基礎１),0)*_11・２人),0)*(1+_11・B早朝)),0)</f>
        <v>865</v>
      </c>
      <c r="W66" s="111"/>
    </row>
    <row r="67" spans="1:23" ht="16.5" customHeight="1" x14ac:dyDescent="0.2"/>
    <row r="68" spans="1:23" ht="16.5" customHeight="1" x14ac:dyDescent="0.2"/>
  </sheetData>
  <mergeCells count="39">
    <mergeCell ref="D7:E9"/>
    <mergeCell ref="F7:G9"/>
    <mergeCell ref="P8:P9"/>
    <mergeCell ref="S8:S9"/>
    <mergeCell ref="H9:H10"/>
    <mergeCell ref="F11:G13"/>
    <mergeCell ref="H13:H14"/>
    <mergeCell ref="F15:G17"/>
    <mergeCell ref="H17:H18"/>
    <mergeCell ref="F19:G21"/>
    <mergeCell ref="H21:H22"/>
    <mergeCell ref="F23:G25"/>
    <mergeCell ref="H25:H26"/>
    <mergeCell ref="D27:E29"/>
    <mergeCell ref="F27:G29"/>
    <mergeCell ref="H29:H30"/>
    <mergeCell ref="F31:G33"/>
    <mergeCell ref="H33:H34"/>
    <mergeCell ref="F35:G37"/>
    <mergeCell ref="H37:H38"/>
    <mergeCell ref="F39:G41"/>
    <mergeCell ref="H41:H42"/>
    <mergeCell ref="D43:E45"/>
    <mergeCell ref="F43:G45"/>
    <mergeCell ref="P44:P45"/>
    <mergeCell ref="S44:S45"/>
    <mergeCell ref="H45:H46"/>
    <mergeCell ref="F47:G49"/>
    <mergeCell ref="H49:H50"/>
    <mergeCell ref="F51:G53"/>
    <mergeCell ref="H53:H54"/>
    <mergeCell ref="D55:E57"/>
    <mergeCell ref="F55:G57"/>
    <mergeCell ref="H57:H58"/>
    <mergeCell ref="F59:G61"/>
    <mergeCell ref="H61:H62"/>
    <mergeCell ref="D63:E65"/>
    <mergeCell ref="F63:G65"/>
    <mergeCell ref="H65:H6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68"/>
  <sheetViews>
    <sheetView workbookViewId="0"/>
  </sheetViews>
  <sheetFormatPr defaultColWidth="8.90625" defaultRowHeight="14" x14ac:dyDescent="0.2"/>
  <cols>
    <col min="1" max="1" width="4.6328125" style="22" customWidth="1"/>
    <col min="2" max="2" width="7.6328125" style="22" customWidth="1"/>
    <col min="3" max="3" width="40.08984375" style="23" bestFit="1" customWidth="1"/>
    <col min="4" max="4" width="4.453125" style="23" bestFit="1" customWidth="1"/>
    <col min="5" max="5" width="5.36328125" style="90" bestFit="1" customWidth="1"/>
    <col min="6" max="6" width="5.36328125" style="23" bestFit="1" customWidth="1"/>
    <col min="7" max="7" width="5.36328125" style="90" bestFit="1" customWidth="1"/>
    <col min="8" max="8" width="11.90625" style="25" customWidth="1"/>
    <col min="9" max="9" width="3.453125" style="25" bestFit="1" customWidth="1"/>
    <col min="10" max="10" width="4.453125" style="26" bestFit="1" customWidth="1"/>
    <col min="11" max="11" width="25.36328125" style="27" bestFit="1" customWidth="1"/>
    <col min="12" max="12" width="3.453125" style="25" bestFit="1" customWidth="1"/>
    <col min="13" max="13" width="5.453125" style="26" bestFit="1" customWidth="1"/>
    <col min="14" max="14" width="3.453125" style="25" bestFit="1" customWidth="1"/>
    <col min="15" max="15" width="4.453125" style="26" bestFit="1" customWidth="1"/>
    <col min="16" max="16" width="5.36328125" style="25" bestFit="1" customWidth="1"/>
    <col min="17" max="17" width="9.90625" style="25" customWidth="1"/>
    <col min="18" max="18" width="4.453125" style="25" bestFit="1" customWidth="1"/>
    <col min="19" max="19" width="7.08984375" style="28" customWidth="1"/>
    <col min="20" max="20" width="8.6328125" style="29" customWidth="1"/>
    <col min="21" max="16384" width="8.90625" style="25"/>
  </cols>
  <sheetData>
    <row r="1" spans="1:20" ht="17.149999999999999" customHeight="1" x14ac:dyDescent="0.2"/>
    <row r="2" spans="1:20" ht="17.149999999999999" customHeight="1" x14ac:dyDescent="0.2"/>
    <row r="3" spans="1:20" ht="17.149999999999999" customHeight="1" x14ac:dyDescent="0.2"/>
    <row r="4" spans="1:20" ht="17.149999999999999" customHeight="1" x14ac:dyDescent="0.2">
      <c r="B4" s="30" t="s">
        <v>776</v>
      </c>
      <c r="D4" s="65"/>
    </row>
    <row r="5" spans="1:20" ht="16.5" customHeight="1" x14ac:dyDescent="0.2">
      <c r="A5" s="31" t="s">
        <v>386</v>
      </c>
      <c r="B5" s="32"/>
      <c r="C5" s="33" t="s">
        <v>387</v>
      </c>
      <c r="D5" s="34" t="s">
        <v>388</v>
      </c>
      <c r="E5" s="91"/>
      <c r="F5" s="34"/>
      <c r="G5" s="91"/>
      <c r="H5" s="34"/>
      <c r="I5" s="34"/>
      <c r="J5" s="35"/>
      <c r="K5" s="34"/>
      <c r="L5" s="34"/>
      <c r="M5" s="35"/>
      <c r="N5" s="34"/>
      <c r="O5" s="35"/>
      <c r="P5" s="34"/>
      <c r="Q5" s="34"/>
      <c r="R5" s="34"/>
      <c r="S5" s="36" t="s">
        <v>389</v>
      </c>
      <c r="T5" s="33" t="s">
        <v>390</v>
      </c>
    </row>
    <row r="6" spans="1:20" ht="16.5" customHeight="1" x14ac:dyDescent="0.2">
      <c r="A6" s="37" t="s">
        <v>391</v>
      </c>
      <c r="B6" s="37" t="s">
        <v>392</v>
      </c>
      <c r="C6" s="38"/>
      <c r="D6" s="77" t="s">
        <v>403</v>
      </c>
      <c r="E6" s="92"/>
      <c r="F6" s="40"/>
      <c r="G6" s="93"/>
      <c r="H6" s="40"/>
      <c r="I6" s="40"/>
      <c r="J6" s="41"/>
      <c r="K6" s="40"/>
      <c r="L6" s="40"/>
      <c r="M6" s="41"/>
      <c r="N6" s="40"/>
      <c r="O6" s="41"/>
      <c r="P6" s="40"/>
      <c r="Q6" s="40"/>
      <c r="R6" s="40"/>
      <c r="S6" s="42" t="s">
        <v>393</v>
      </c>
      <c r="T6" s="43" t="s">
        <v>394</v>
      </c>
    </row>
    <row r="7" spans="1:20" ht="16.5" customHeight="1" x14ac:dyDescent="0.2">
      <c r="A7" s="44">
        <v>16</v>
      </c>
      <c r="B7" s="44">
        <v>3363</v>
      </c>
      <c r="C7" s="45" t="s">
        <v>777</v>
      </c>
      <c r="D7" s="245" t="s">
        <v>1943</v>
      </c>
      <c r="E7" s="246"/>
      <c r="F7" s="245" t="s">
        <v>1975</v>
      </c>
      <c r="G7" s="246"/>
      <c r="H7" s="47"/>
      <c r="K7" s="48"/>
      <c r="L7" s="49"/>
      <c r="M7" s="50"/>
      <c r="N7" s="67" t="s">
        <v>407</v>
      </c>
      <c r="P7" s="63"/>
      <c r="Q7" s="47"/>
      <c r="S7" s="51">
        <f>ROUND((_11_A通院１０．５*(1+_11・A早朝)),0)+_11_B通院１０．５＿０．５</f>
        <v>468</v>
      </c>
      <c r="T7" s="52" t="s">
        <v>395</v>
      </c>
    </row>
    <row r="8" spans="1:20" ht="16.5" customHeight="1" x14ac:dyDescent="0.2">
      <c r="A8" s="44">
        <v>16</v>
      </c>
      <c r="B8" s="53">
        <v>3364</v>
      </c>
      <c r="C8" s="69" t="s">
        <v>778</v>
      </c>
      <c r="D8" s="245"/>
      <c r="E8" s="246"/>
      <c r="F8" s="245"/>
      <c r="G8" s="246"/>
      <c r="H8" s="54"/>
      <c r="I8" s="49"/>
      <c r="J8" s="50"/>
      <c r="K8" s="55" t="s">
        <v>396</v>
      </c>
      <c r="L8" s="56" t="s">
        <v>397</v>
      </c>
      <c r="M8" s="57">
        <v>1</v>
      </c>
      <c r="N8" s="47" t="s">
        <v>397</v>
      </c>
      <c r="O8" s="26">
        <v>0.25</v>
      </c>
      <c r="P8" s="248" t="s">
        <v>400</v>
      </c>
      <c r="Q8" s="47"/>
      <c r="S8" s="58">
        <f>ROUND((ROUND((_11_A通院１０．５*_11・２人),0)*(1+_11・A早朝)),0)+ROUND((_11_B通院１０．５＿０．５*_11・２人),0)</f>
        <v>468</v>
      </c>
      <c r="T8" s="59"/>
    </row>
    <row r="9" spans="1:20" ht="16.5" customHeight="1" x14ac:dyDescent="0.2">
      <c r="A9" s="44">
        <v>16</v>
      </c>
      <c r="B9" s="53">
        <v>3365</v>
      </c>
      <c r="C9" s="69" t="s">
        <v>779</v>
      </c>
      <c r="D9" s="245"/>
      <c r="E9" s="246"/>
      <c r="F9" s="245"/>
      <c r="G9" s="246"/>
      <c r="H9" s="241" t="s">
        <v>398</v>
      </c>
      <c r="I9" s="60" t="s">
        <v>397</v>
      </c>
      <c r="J9" s="61">
        <v>0.7</v>
      </c>
      <c r="K9" s="55"/>
      <c r="L9" s="56"/>
      <c r="M9" s="57"/>
      <c r="N9" s="47"/>
      <c r="P9" s="248"/>
      <c r="Q9" s="47"/>
      <c r="S9" s="58">
        <f>ROUND((ROUND((_11_A通院１０．５*_11・基礎１),0)*(1+_11・A早朝)),0)+ROUND((_11_B通院１０．５＿０．５*_11・基礎１),0)</f>
        <v>328</v>
      </c>
      <c r="T9" s="59"/>
    </row>
    <row r="10" spans="1:20" ht="16.5" customHeight="1" x14ac:dyDescent="0.2">
      <c r="A10" s="44">
        <v>16</v>
      </c>
      <c r="B10" s="53">
        <v>3366</v>
      </c>
      <c r="C10" s="69" t="s">
        <v>780</v>
      </c>
      <c r="D10" s="84">
        <f>_11_A通院１０．５</f>
        <v>256</v>
      </c>
      <c r="E10" s="25" t="s">
        <v>394</v>
      </c>
      <c r="F10" s="84">
        <f>_11_B通院１０．５＿０．５</f>
        <v>148</v>
      </c>
      <c r="G10" s="25" t="s">
        <v>394</v>
      </c>
      <c r="H10" s="242"/>
      <c r="I10" s="49"/>
      <c r="J10" s="50"/>
      <c r="K10" s="55" t="s">
        <v>396</v>
      </c>
      <c r="L10" s="56" t="s">
        <v>397</v>
      </c>
      <c r="M10" s="57">
        <v>1</v>
      </c>
      <c r="N10" s="47"/>
      <c r="P10" s="63"/>
      <c r="Q10" s="54"/>
      <c r="R10" s="49"/>
      <c r="S10" s="58">
        <f>ROUND((ROUND((ROUND((_11_A通院１０．５*_11・基礎１),0)*_11・２人),0)*(1+_11・A早朝)),0)+ROUND((ROUND((_11_B通院１０．５＿０．５*_11・基礎１),0)*_11・２人),0)</f>
        <v>328</v>
      </c>
      <c r="T10" s="59"/>
    </row>
    <row r="11" spans="1:20" ht="16.5" customHeight="1" x14ac:dyDescent="0.2">
      <c r="A11" s="44">
        <v>16</v>
      </c>
      <c r="B11" s="53">
        <v>3367</v>
      </c>
      <c r="C11" s="69" t="s">
        <v>781</v>
      </c>
      <c r="D11" s="67"/>
      <c r="E11" s="83"/>
      <c r="F11" s="243" t="s">
        <v>1976</v>
      </c>
      <c r="G11" s="244"/>
      <c r="H11" s="62"/>
      <c r="I11" s="60"/>
      <c r="J11" s="61"/>
      <c r="K11" s="55"/>
      <c r="L11" s="56"/>
      <c r="M11" s="57"/>
      <c r="N11" s="47"/>
      <c r="P11" s="63"/>
      <c r="Q11" s="62"/>
      <c r="R11" s="60"/>
      <c r="S11" s="58">
        <f>ROUND((_11_A通院１０．５*(1+_11・A早朝)),0)+_11_B通院１０．５＿１．０</f>
        <v>651</v>
      </c>
      <c r="T11" s="59"/>
    </row>
    <row r="12" spans="1:20" ht="16.5" customHeight="1" x14ac:dyDescent="0.2">
      <c r="A12" s="44">
        <v>16</v>
      </c>
      <c r="B12" s="53">
        <v>3368</v>
      </c>
      <c r="C12" s="69" t="s">
        <v>782</v>
      </c>
      <c r="D12" s="67"/>
      <c r="E12" s="83"/>
      <c r="F12" s="245"/>
      <c r="G12" s="246"/>
      <c r="H12" s="54"/>
      <c r="I12" s="49"/>
      <c r="J12" s="50"/>
      <c r="K12" s="55" t="s">
        <v>396</v>
      </c>
      <c r="L12" s="56" t="s">
        <v>397</v>
      </c>
      <c r="M12" s="57">
        <v>1</v>
      </c>
      <c r="N12" s="47"/>
      <c r="P12" s="63"/>
      <c r="Q12" s="47"/>
      <c r="S12" s="58">
        <f>ROUND((ROUND((_11_A通院１０．５*_11・２人),0)*(1+_11・A早朝)),0)+ROUND((_11_B通院１０．５＿１．０*_11・２人),0)</f>
        <v>651</v>
      </c>
      <c r="T12" s="59"/>
    </row>
    <row r="13" spans="1:20" ht="16.5" customHeight="1" x14ac:dyDescent="0.2">
      <c r="A13" s="44">
        <v>16</v>
      </c>
      <c r="B13" s="53">
        <v>3369</v>
      </c>
      <c r="C13" s="69" t="s">
        <v>783</v>
      </c>
      <c r="D13" s="67"/>
      <c r="E13" s="83"/>
      <c r="F13" s="245"/>
      <c r="G13" s="246"/>
      <c r="H13" s="241" t="s">
        <v>398</v>
      </c>
      <c r="I13" s="60" t="s">
        <v>397</v>
      </c>
      <c r="J13" s="61">
        <v>0.7</v>
      </c>
      <c r="K13" s="55"/>
      <c r="L13" s="56"/>
      <c r="M13" s="57"/>
      <c r="N13" s="47"/>
      <c r="P13" s="63"/>
      <c r="Q13" s="47"/>
      <c r="S13" s="58">
        <f>ROUND((ROUND((_11_A通院１０．５*_11・基礎１),0)*(1+_11・A早朝)),0)+ROUND((_11_B通院１０．５＿１．０*_11・基礎１),0)</f>
        <v>456</v>
      </c>
      <c r="T13" s="59"/>
    </row>
    <row r="14" spans="1:20" ht="16.5" customHeight="1" x14ac:dyDescent="0.2">
      <c r="A14" s="44">
        <v>16</v>
      </c>
      <c r="B14" s="53">
        <v>3370</v>
      </c>
      <c r="C14" s="69" t="s">
        <v>784</v>
      </c>
      <c r="D14" s="67"/>
      <c r="E14" s="83"/>
      <c r="F14" s="84">
        <f>_11_B通院１０．５＿１．０</f>
        <v>331</v>
      </c>
      <c r="G14" s="25" t="s">
        <v>394</v>
      </c>
      <c r="H14" s="242"/>
      <c r="I14" s="49"/>
      <c r="J14" s="50"/>
      <c r="K14" s="55" t="s">
        <v>396</v>
      </c>
      <c r="L14" s="56" t="s">
        <v>397</v>
      </c>
      <c r="M14" s="57">
        <v>1</v>
      </c>
      <c r="N14" s="47"/>
      <c r="P14" s="63"/>
      <c r="Q14" s="54"/>
      <c r="R14" s="49"/>
      <c r="S14" s="58">
        <f>ROUND((ROUND((ROUND((_11_A通院１０．５*_11・基礎１),0)*_11・２人),0)*(1+_11・A早朝)),0)+ROUND((ROUND((_11_B通院１０．５＿１．０*_11・基礎１),0)*_11・２人),0)</f>
        <v>456</v>
      </c>
      <c r="T14" s="59"/>
    </row>
    <row r="15" spans="1:20" ht="16.5" customHeight="1" x14ac:dyDescent="0.2">
      <c r="A15" s="44">
        <v>16</v>
      </c>
      <c r="B15" s="53">
        <v>3371</v>
      </c>
      <c r="C15" s="69" t="s">
        <v>785</v>
      </c>
      <c r="D15" s="67"/>
      <c r="E15" s="83"/>
      <c r="F15" s="243" t="s">
        <v>1977</v>
      </c>
      <c r="G15" s="244"/>
      <c r="H15" s="62"/>
      <c r="I15" s="60"/>
      <c r="J15" s="61"/>
      <c r="K15" s="55"/>
      <c r="L15" s="56"/>
      <c r="M15" s="57"/>
      <c r="N15" s="47"/>
      <c r="P15" s="63"/>
      <c r="Q15" s="62"/>
      <c r="R15" s="60"/>
      <c r="S15" s="58">
        <f>ROUND((_11_A通院１０．５*(1+_11・A早朝)),0)+_11_B通院１０．５＿１．５</f>
        <v>733</v>
      </c>
      <c r="T15" s="59"/>
    </row>
    <row r="16" spans="1:20" ht="16.5" customHeight="1" x14ac:dyDescent="0.2">
      <c r="A16" s="44">
        <v>16</v>
      </c>
      <c r="B16" s="53">
        <v>3372</v>
      </c>
      <c r="C16" s="69" t="s">
        <v>786</v>
      </c>
      <c r="D16" s="67"/>
      <c r="E16" s="83"/>
      <c r="F16" s="245"/>
      <c r="G16" s="246"/>
      <c r="H16" s="54"/>
      <c r="I16" s="49"/>
      <c r="J16" s="50"/>
      <c r="K16" s="55" t="s">
        <v>396</v>
      </c>
      <c r="L16" s="56" t="s">
        <v>397</v>
      </c>
      <c r="M16" s="57">
        <v>1</v>
      </c>
      <c r="N16" s="47"/>
      <c r="P16" s="63"/>
      <c r="Q16" s="47"/>
      <c r="S16" s="58">
        <f>ROUND((ROUND((_11_A通院１０．５*_11・２人),0)*(1+_11・A早朝)),0)+ROUND((_11_B通院１０．５＿１．５*_11・２人),0)</f>
        <v>733</v>
      </c>
      <c r="T16" s="59"/>
    </row>
    <row r="17" spans="1:20" ht="16.5" customHeight="1" x14ac:dyDescent="0.2">
      <c r="A17" s="44">
        <v>16</v>
      </c>
      <c r="B17" s="53">
        <v>3373</v>
      </c>
      <c r="C17" s="69" t="s">
        <v>787</v>
      </c>
      <c r="D17" s="67"/>
      <c r="E17" s="83"/>
      <c r="F17" s="245"/>
      <c r="G17" s="246"/>
      <c r="H17" s="241" t="s">
        <v>398</v>
      </c>
      <c r="I17" s="60" t="s">
        <v>397</v>
      </c>
      <c r="J17" s="61">
        <v>0.7</v>
      </c>
      <c r="K17" s="55"/>
      <c r="L17" s="56"/>
      <c r="M17" s="57"/>
      <c r="N17" s="47"/>
      <c r="P17" s="63"/>
      <c r="Q17" s="47"/>
      <c r="S17" s="58">
        <f>ROUND((ROUND((_11_A通院１０．５*_11・基礎１),0)*(1+_11・A早朝)),0)+ROUND((_11_B通院１０．５＿１．５*_11・基礎１),0)</f>
        <v>513</v>
      </c>
      <c r="T17" s="59"/>
    </row>
    <row r="18" spans="1:20" ht="16.5" customHeight="1" x14ac:dyDescent="0.2">
      <c r="A18" s="44">
        <v>16</v>
      </c>
      <c r="B18" s="53">
        <v>3374</v>
      </c>
      <c r="C18" s="69" t="s">
        <v>788</v>
      </c>
      <c r="D18" s="67"/>
      <c r="E18" s="83"/>
      <c r="F18" s="84">
        <f>_11_B通院１０．５＿１．５</f>
        <v>413</v>
      </c>
      <c r="G18" s="25" t="s">
        <v>394</v>
      </c>
      <c r="H18" s="242"/>
      <c r="I18" s="49"/>
      <c r="J18" s="50"/>
      <c r="K18" s="55" t="s">
        <v>396</v>
      </c>
      <c r="L18" s="56" t="s">
        <v>397</v>
      </c>
      <c r="M18" s="57">
        <v>1</v>
      </c>
      <c r="N18" s="47"/>
      <c r="P18" s="63"/>
      <c r="Q18" s="54"/>
      <c r="R18" s="49"/>
      <c r="S18" s="58">
        <f>ROUND((ROUND((ROUND((_11_A通院１０．５*_11・基礎１),0)*_11・２人),0)*(1+_11・A早朝)),0)+ROUND((ROUND((_11_B通院１０．５＿１．５*_11・基礎１),0)*_11・２人),0)</f>
        <v>513</v>
      </c>
      <c r="T18" s="59"/>
    </row>
    <row r="19" spans="1:20" ht="16.5" customHeight="1" x14ac:dyDescent="0.2">
      <c r="A19" s="44">
        <v>16</v>
      </c>
      <c r="B19" s="53">
        <v>3375</v>
      </c>
      <c r="C19" s="69" t="s">
        <v>789</v>
      </c>
      <c r="D19" s="67"/>
      <c r="E19" s="83"/>
      <c r="F19" s="243" t="s">
        <v>1978</v>
      </c>
      <c r="G19" s="244"/>
      <c r="H19" s="62"/>
      <c r="I19" s="60"/>
      <c r="J19" s="61"/>
      <c r="K19" s="55"/>
      <c r="L19" s="56"/>
      <c r="M19" s="57"/>
      <c r="N19" s="47"/>
      <c r="P19" s="63"/>
      <c r="Q19" s="62"/>
      <c r="R19" s="60"/>
      <c r="S19" s="58">
        <f>ROUND((_11_A通院１０．５*(1+_11・A早朝)),0)+_11_B通院１０．５＿２．０</f>
        <v>818</v>
      </c>
      <c r="T19" s="59"/>
    </row>
    <row r="20" spans="1:20" ht="16.5" customHeight="1" x14ac:dyDescent="0.2">
      <c r="A20" s="44">
        <v>16</v>
      </c>
      <c r="B20" s="53">
        <v>3376</v>
      </c>
      <c r="C20" s="69" t="s">
        <v>790</v>
      </c>
      <c r="D20" s="67"/>
      <c r="E20" s="83"/>
      <c r="F20" s="245"/>
      <c r="G20" s="246"/>
      <c r="H20" s="54"/>
      <c r="I20" s="49"/>
      <c r="J20" s="50"/>
      <c r="K20" s="55" t="s">
        <v>396</v>
      </c>
      <c r="L20" s="56" t="s">
        <v>397</v>
      </c>
      <c r="M20" s="57">
        <v>1</v>
      </c>
      <c r="N20" s="47"/>
      <c r="P20" s="63"/>
      <c r="Q20" s="47"/>
      <c r="S20" s="58">
        <f>ROUND((ROUND((_11_A通院１０．５*_11・２人),0)*(1+_11・A早朝)),0)+ROUND((_11_B通院１０．５＿２．０*_11・２人),0)</f>
        <v>818</v>
      </c>
      <c r="T20" s="59"/>
    </row>
    <row r="21" spans="1:20" ht="16.5" customHeight="1" x14ac:dyDescent="0.2">
      <c r="A21" s="44">
        <v>16</v>
      </c>
      <c r="B21" s="53">
        <v>3377</v>
      </c>
      <c r="C21" s="69" t="s">
        <v>791</v>
      </c>
      <c r="D21" s="67"/>
      <c r="E21" s="83"/>
      <c r="F21" s="245"/>
      <c r="G21" s="246"/>
      <c r="H21" s="241" t="s">
        <v>398</v>
      </c>
      <c r="I21" s="60" t="s">
        <v>397</v>
      </c>
      <c r="J21" s="61">
        <v>0.7</v>
      </c>
      <c r="K21" s="55"/>
      <c r="L21" s="56"/>
      <c r="M21" s="57"/>
      <c r="N21" s="47"/>
      <c r="P21" s="63"/>
      <c r="Q21" s="47"/>
      <c r="S21" s="58">
        <f>ROUND((ROUND((_11_A通院１０．５*_11・基礎１),0)*(1+_11・A早朝)),0)+ROUND((_11_B通院１０．５＿２．０*_11・基礎１),0)</f>
        <v>573</v>
      </c>
      <c r="T21" s="59"/>
    </row>
    <row r="22" spans="1:20" ht="16.5" customHeight="1" x14ac:dyDescent="0.2">
      <c r="A22" s="44">
        <v>16</v>
      </c>
      <c r="B22" s="53">
        <v>3378</v>
      </c>
      <c r="C22" s="69" t="s">
        <v>792</v>
      </c>
      <c r="D22" s="67"/>
      <c r="E22" s="83"/>
      <c r="F22" s="84">
        <f>_11_B通院１０．５＿２．０</f>
        <v>498</v>
      </c>
      <c r="G22" s="25" t="s">
        <v>394</v>
      </c>
      <c r="H22" s="242"/>
      <c r="I22" s="49"/>
      <c r="J22" s="50"/>
      <c r="K22" s="55" t="s">
        <v>396</v>
      </c>
      <c r="L22" s="56" t="s">
        <v>397</v>
      </c>
      <c r="M22" s="57">
        <v>1</v>
      </c>
      <c r="N22" s="47"/>
      <c r="P22" s="63"/>
      <c r="Q22" s="54"/>
      <c r="R22" s="49"/>
      <c r="S22" s="58">
        <f>ROUND((ROUND((ROUND((_11_A通院１０．５*_11・基礎１),0)*_11・２人),0)*(1+_11・A早朝)),0)+ROUND((ROUND((_11_B通院１０．５＿２．０*_11・基礎１),0)*_11・２人),0)</f>
        <v>573</v>
      </c>
      <c r="T22" s="59"/>
    </row>
    <row r="23" spans="1:20" ht="16.5" customHeight="1" x14ac:dyDescent="0.2">
      <c r="A23" s="44">
        <v>16</v>
      </c>
      <c r="B23" s="53">
        <v>3379</v>
      </c>
      <c r="C23" s="69" t="s">
        <v>793</v>
      </c>
      <c r="D23" s="67"/>
      <c r="E23" s="83"/>
      <c r="F23" s="243" t="s">
        <v>1979</v>
      </c>
      <c r="G23" s="244"/>
      <c r="H23" s="62"/>
      <c r="I23" s="60"/>
      <c r="J23" s="61"/>
      <c r="K23" s="55"/>
      <c r="L23" s="56"/>
      <c r="M23" s="57"/>
      <c r="N23" s="47"/>
      <c r="P23" s="63"/>
      <c r="Q23" s="62"/>
      <c r="R23" s="60"/>
      <c r="S23" s="58">
        <f>ROUND((_11_A通院１０．５*(1+_11・A早朝)),0)+_11_B通院１０．５＿２．５</f>
        <v>901</v>
      </c>
      <c r="T23" s="59"/>
    </row>
    <row r="24" spans="1:20" ht="16.5" customHeight="1" x14ac:dyDescent="0.2">
      <c r="A24" s="44">
        <v>16</v>
      </c>
      <c r="B24" s="53">
        <v>3380</v>
      </c>
      <c r="C24" s="69" t="s">
        <v>794</v>
      </c>
      <c r="D24" s="67"/>
      <c r="E24" s="83"/>
      <c r="F24" s="245"/>
      <c r="G24" s="246"/>
      <c r="H24" s="54"/>
      <c r="I24" s="49"/>
      <c r="J24" s="50"/>
      <c r="K24" s="55" t="s">
        <v>396</v>
      </c>
      <c r="L24" s="56" t="s">
        <v>397</v>
      </c>
      <c r="M24" s="57">
        <v>1</v>
      </c>
      <c r="N24" s="47"/>
      <c r="P24" s="63"/>
      <c r="Q24" s="47"/>
      <c r="S24" s="58">
        <f>ROUND((ROUND((_11_A通院１０．５*_11・２人),0)*(1+_11・A早朝)),0)+ROUND((_11_B通院１０．５＿２．５*_11・２人),0)</f>
        <v>901</v>
      </c>
      <c r="T24" s="59"/>
    </row>
    <row r="25" spans="1:20" ht="16.5" customHeight="1" x14ac:dyDescent="0.2">
      <c r="A25" s="44">
        <v>16</v>
      </c>
      <c r="B25" s="53">
        <v>3381</v>
      </c>
      <c r="C25" s="69" t="s">
        <v>795</v>
      </c>
      <c r="D25" s="67"/>
      <c r="E25" s="83"/>
      <c r="F25" s="245"/>
      <c r="G25" s="246"/>
      <c r="H25" s="241" t="s">
        <v>398</v>
      </c>
      <c r="I25" s="60" t="s">
        <v>397</v>
      </c>
      <c r="J25" s="61">
        <v>0.7</v>
      </c>
      <c r="K25" s="55"/>
      <c r="L25" s="56"/>
      <c r="M25" s="57"/>
      <c r="N25" s="47"/>
      <c r="P25" s="63"/>
      <c r="Q25" s="47"/>
      <c r="S25" s="58">
        <f>ROUND((ROUND((_11_A通院１０．５*_11・基礎１),0)*(1+_11・A早朝)),0)+ROUND((_11_B通院１０．５＿２．５*_11・基礎１),0)</f>
        <v>631</v>
      </c>
      <c r="T25" s="59"/>
    </row>
    <row r="26" spans="1:20" ht="16.5" customHeight="1" x14ac:dyDescent="0.2">
      <c r="A26" s="44">
        <v>16</v>
      </c>
      <c r="B26" s="53">
        <v>3382</v>
      </c>
      <c r="C26" s="69" t="s">
        <v>796</v>
      </c>
      <c r="D26" s="67"/>
      <c r="E26" s="83"/>
      <c r="F26" s="84">
        <f>_11_B通院１０．５＿２．５</f>
        <v>581</v>
      </c>
      <c r="G26" s="25" t="s">
        <v>394</v>
      </c>
      <c r="H26" s="242"/>
      <c r="I26" s="49"/>
      <c r="J26" s="50"/>
      <c r="K26" s="55" t="s">
        <v>396</v>
      </c>
      <c r="L26" s="56" t="s">
        <v>397</v>
      </c>
      <c r="M26" s="57">
        <v>1</v>
      </c>
      <c r="N26" s="47"/>
      <c r="P26" s="63"/>
      <c r="Q26" s="54"/>
      <c r="R26" s="49"/>
      <c r="S26" s="58">
        <f>ROUND((ROUND((ROUND((_11_A通院１０．５*_11・基礎１),0)*_11・２人),0)*(1+_11・A早朝)),0)+ROUND((ROUND((_11_B通院１０．５＿２．５*_11・基礎１),0)*_11・２人),0)</f>
        <v>631</v>
      </c>
      <c r="T26" s="59"/>
    </row>
    <row r="27" spans="1:20" ht="16.5" customHeight="1" x14ac:dyDescent="0.2">
      <c r="A27" s="44">
        <v>16</v>
      </c>
      <c r="B27" s="53">
        <v>3383</v>
      </c>
      <c r="C27" s="69" t="s">
        <v>797</v>
      </c>
      <c r="D27" s="243" t="s">
        <v>1944</v>
      </c>
      <c r="E27" s="244"/>
      <c r="F27" s="243" t="s">
        <v>1975</v>
      </c>
      <c r="G27" s="244"/>
      <c r="H27" s="62"/>
      <c r="I27" s="60"/>
      <c r="J27" s="61"/>
      <c r="K27" s="55"/>
      <c r="L27" s="56"/>
      <c r="M27" s="57"/>
      <c r="N27" s="47"/>
      <c r="P27" s="63"/>
      <c r="Q27" s="62"/>
      <c r="R27" s="60"/>
      <c r="S27" s="58">
        <f>ROUND((_11_A通院１１．０*(1+_11・A早朝)),0)+_11_B通院１１．０＿０．５</f>
        <v>688</v>
      </c>
      <c r="T27" s="59"/>
    </row>
    <row r="28" spans="1:20" ht="16.5" customHeight="1" x14ac:dyDescent="0.2">
      <c r="A28" s="44">
        <v>16</v>
      </c>
      <c r="B28" s="53">
        <v>3384</v>
      </c>
      <c r="C28" s="69" t="s">
        <v>798</v>
      </c>
      <c r="D28" s="245"/>
      <c r="E28" s="246"/>
      <c r="F28" s="245"/>
      <c r="G28" s="246"/>
      <c r="H28" s="54"/>
      <c r="I28" s="49"/>
      <c r="J28" s="50"/>
      <c r="K28" s="55" t="s">
        <v>396</v>
      </c>
      <c r="L28" s="56" t="s">
        <v>397</v>
      </c>
      <c r="M28" s="57">
        <v>1</v>
      </c>
      <c r="N28" s="47"/>
      <c r="P28" s="63"/>
      <c r="Q28" s="47"/>
      <c r="S28" s="58">
        <f>ROUND((ROUND((_11_A通院１１．０*_11・２人),0)*(1+_11・A早朝)),0)+ROUND((_11_B通院１１．０＿０．５*_11・２人),0)</f>
        <v>688</v>
      </c>
      <c r="T28" s="59"/>
    </row>
    <row r="29" spans="1:20" ht="16.5" customHeight="1" x14ac:dyDescent="0.2">
      <c r="A29" s="44">
        <v>16</v>
      </c>
      <c r="B29" s="53">
        <v>3385</v>
      </c>
      <c r="C29" s="69" t="s">
        <v>799</v>
      </c>
      <c r="D29" s="245"/>
      <c r="E29" s="246"/>
      <c r="F29" s="245"/>
      <c r="G29" s="246"/>
      <c r="H29" s="241" t="s">
        <v>398</v>
      </c>
      <c r="I29" s="60" t="s">
        <v>397</v>
      </c>
      <c r="J29" s="61">
        <v>0.7</v>
      </c>
      <c r="K29" s="55"/>
      <c r="L29" s="56"/>
      <c r="M29" s="57"/>
      <c r="N29" s="47"/>
      <c r="P29" s="63"/>
      <c r="Q29" s="47"/>
      <c r="S29" s="58">
        <f>ROUND((ROUND((_11_A通院１１．０*_11・基礎１),0)*(1+_11・A早朝)),0)+ROUND((_11_B通院１１．０＿０．５*_11・基礎１),0)</f>
        <v>482</v>
      </c>
      <c r="T29" s="59"/>
    </row>
    <row r="30" spans="1:20" ht="16.5" customHeight="1" x14ac:dyDescent="0.2">
      <c r="A30" s="44">
        <v>16</v>
      </c>
      <c r="B30" s="53">
        <v>3386</v>
      </c>
      <c r="C30" s="69" t="s">
        <v>800</v>
      </c>
      <c r="D30" s="84">
        <f>_11_A通院１１．０</f>
        <v>404</v>
      </c>
      <c r="E30" s="25" t="s">
        <v>394</v>
      </c>
      <c r="F30" s="84">
        <f>_11_B通院１１．０＿０．５</f>
        <v>183</v>
      </c>
      <c r="G30" s="25" t="s">
        <v>394</v>
      </c>
      <c r="H30" s="242"/>
      <c r="I30" s="49"/>
      <c r="J30" s="50"/>
      <c r="K30" s="55" t="s">
        <v>396</v>
      </c>
      <c r="L30" s="56" t="s">
        <v>397</v>
      </c>
      <c r="M30" s="57">
        <v>1</v>
      </c>
      <c r="N30" s="47"/>
      <c r="P30" s="63"/>
      <c r="Q30" s="54"/>
      <c r="R30" s="49"/>
      <c r="S30" s="58">
        <f>ROUND((ROUND((ROUND((_11_A通院１１．０*_11・基礎１),0)*_11・２人),0)*(1+_11・A早朝)),0)+ROUND((ROUND((_11_B通院１１．０＿０．５*_11・基礎１),0)*_11・２人),0)</f>
        <v>482</v>
      </c>
      <c r="T30" s="59"/>
    </row>
    <row r="31" spans="1:20" ht="16.5" customHeight="1" x14ac:dyDescent="0.2">
      <c r="A31" s="44">
        <v>16</v>
      </c>
      <c r="B31" s="53">
        <v>3387</v>
      </c>
      <c r="C31" s="69" t="s">
        <v>801</v>
      </c>
      <c r="D31" s="67"/>
      <c r="E31" s="83"/>
      <c r="F31" s="243" t="s">
        <v>1976</v>
      </c>
      <c r="G31" s="244"/>
      <c r="H31" s="62"/>
      <c r="I31" s="60"/>
      <c r="J31" s="61"/>
      <c r="K31" s="55"/>
      <c r="L31" s="56"/>
      <c r="M31" s="57"/>
      <c r="N31" s="47"/>
      <c r="P31" s="63"/>
      <c r="Q31" s="62"/>
      <c r="R31" s="60"/>
      <c r="S31" s="58">
        <f>ROUND((_11_A通院１１．０*(1+_11・A早朝)),0)+_11_B通院１１．０＿１．０</f>
        <v>770</v>
      </c>
      <c r="T31" s="59"/>
    </row>
    <row r="32" spans="1:20" ht="16.5" customHeight="1" x14ac:dyDescent="0.2">
      <c r="A32" s="44">
        <v>16</v>
      </c>
      <c r="B32" s="53">
        <v>3388</v>
      </c>
      <c r="C32" s="69" t="s">
        <v>802</v>
      </c>
      <c r="D32" s="67"/>
      <c r="E32" s="83"/>
      <c r="F32" s="245"/>
      <c r="G32" s="246"/>
      <c r="H32" s="54"/>
      <c r="I32" s="49"/>
      <c r="J32" s="50"/>
      <c r="K32" s="55" t="s">
        <v>396</v>
      </c>
      <c r="L32" s="56" t="s">
        <v>397</v>
      </c>
      <c r="M32" s="57">
        <v>1</v>
      </c>
      <c r="N32" s="47"/>
      <c r="P32" s="63"/>
      <c r="Q32" s="47"/>
      <c r="S32" s="58">
        <f>ROUND((ROUND((_11_A通院１１．０*_11・２人),0)*(1+_11・A早朝)),0)+ROUND((_11_B通院１１．０＿１．０*_11・２人),0)</f>
        <v>770</v>
      </c>
      <c r="T32" s="59"/>
    </row>
    <row r="33" spans="1:20" ht="16.5" customHeight="1" x14ac:dyDescent="0.2">
      <c r="A33" s="44">
        <v>16</v>
      </c>
      <c r="B33" s="53">
        <v>3389</v>
      </c>
      <c r="C33" s="69" t="s">
        <v>803</v>
      </c>
      <c r="D33" s="67"/>
      <c r="E33" s="83"/>
      <c r="F33" s="245"/>
      <c r="G33" s="246"/>
      <c r="H33" s="241" t="s">
        <v>398</v>
      </c>
      <c r="I33" s="60" t="s">
        <v>397</v>
      </c>
      <c r="J33" s="61">
        <v>0.7</v>
      </c>
      <c r="K33" s="55"/>
      <c r="L33" s="56"/>
      <c r="M33" s="57"/>
      <c r="N33" s="47"/>
      <c r="P33" s="63"/>
      <c r="Q33" s="47"/>
      <c r="S33" s="58">
        <f>ROUND((ROUND((_11_A通院１１．０*_11・基礎１),0)*(1+_11・A早朝)),0)+ROUND((_11_B通院１１．０＿１．０*_11・基礎１),0)</f>
        <v>540</v>
      </c>
      <c r="T33" s="59"/>
    </row>
    <row r="34" spans="1:20" ht="16.5" customHeight="1" x14ac:dyDescent="0.2">
      <c r="A34" s="44">
        <v>16</v>
      </c>
      <c r="B34" s="53">
        <v>3390</v>
      </c>
      <c r="C34" s="69" t="s">
        <v>804</v>
      </c>
      <c r="D34" s="67"/>
      <c r="E34" s="83"/>
      <c r="F34" s="84">
        <f>_11_B通院１１．０＿１．０</f>
        <v>265</v>
      </c>
      <c r="G34" s="25" t="s">
        <v>394</v>
      </c>
      <c r="H34" s="242"/>
      <c r="I34" s="49"/>
      <c r="J34" s="50"/>
      <c r="K34" s="55" t="s">
        <v>396</v>
      </c>
      <c r="L34" s="56" t="s">
        <v>397</v>
      </c>
      <c r="M34" s="57">
        <v>1</v>
      </c>
      <c r="N34" s="47"/>
      <c r="P34" s="63"/>
      <c r="Q34" s="54"/>
      <c r="R34" s="49"/>
      <c r="S34" s="58">
        <f>ROUND((ROUND((ROUND((_11_A通院１１．０*_11・基礎１),0)*_11・２人),0)*(1+_11・A早朝)),0)+ROUND((ROUND((_11_B通院１１．０＿１．０*_11・基礎１),0)*_11・２人),0)</f>
        <v>540</v>
      </c>
      <c r="T34" s="59"/>
    </row>
    <row r="35" spans="1:20" ht="16.5" customHeight="1" x14ac:dyDescent="0.2">
      <c r="A35" s="44">
        <v>16</v>
      </c>
      <c r="B35" s="53">
        <v>3391</v>
      </c>
      <c r="C35" s="69" t="s">
        <v>805</v>
      </c>
      <c r="D35" s="87"/>
      <c r="E35" s="115"/>
      <c r="F35" s="243" t="s">
        <v>1977</v>
      </c>
      <c r="G35" s="244"/>
      <c r="H35" s="62"/>
      <c r="I35" s="60"/>
      <c r="J35" s="61"/>
      <c r="K35" s="55"/>
      <c r="L35" s="56"/>
      <c r="M35" s="57"/>
      <c r="N35" s="47"/>
      <c r="O35" s="176"/>
      <c r="P35" s="63"/>
      <c r="Q35" s="62"/>
      <c r="R35" s="60"/>
      <c r="S35" s="58">
        <f>ROUND((_11_A通院１１．０*(1+_11・A早朝)),0)+_11_B通院１１．０＿１．５</f>
        <v>855</v>
      </c>
      <c r="T35" s="52"/>
    </row>
    <row r="36" spans="1:20" ht="16.5" customHeight="1" x14ac:dyDescent="0.2">
      <c r="A36" s="44">
        <v>16</v>
      </c>
      <c r="B36" s="53">
        <v>3392</v>
      </c>
      <c r="C36" s="69" t="s">
        <v>806</v>
      </c>
      <c r="D36" s="67"/>
      <c r="E36" s="83"/>
      <c r="F36" s="245"/>
      <c r="G36" s="246"/>
      <c r="H36" s="54"/>
      <c r="I36" s="49"/>
      <c r="J36" s="50"/>
      <c r="K36" s="55" t="s">
        <v>396</v>
      </c>
      <c r="L36" s="56" t="s">
        <v>397</v>
      </c>
      <c r="M36" s="57">
        <v>1</v>
      </c>
      <c r="N36" s="47"/>
      <c r="P36" s="63"/>
      <c r="Q36" s="47"/>
      <c r="S36" s="58">
        <f>ROUND((ROUND((_11_A通院１１．０*_11・２人),0)*(1+_11・A早朝)),0)+ROUND((_11_B通院１１．０＿１．５*_11・２人),0)</f>
        <v>855</v>
      </c>
      <c r="T36" s="59"/>
    </row>
    <row r="37" spans="1:20" ht="16.5" customHeight="1" x14ac:dyDescent="0.2">
      <c r="A37" s="44">
        <v>16</v>
      </c>
      <c r="B37" s="53">
        <v>3393</v>
      </c>
      <c r="C37" s="69" t="s">
        <v>807</v>
      </c>
      <c r="D37" s="67"/>
      <c r="E37" s="83"/>
      <c r="F37" s="245"/>
      <c r="G37" s="246"/>
      <c r="H37" s="241" t="s">
        <v>398</v>
      </c>
      <c r="I37" s="60" t="s">
        <v>397</v>
      </c>
      <c r="J37" s="61">
        <v>0.7</v>
      </c>
      <c r="K37" s="55"/>
      <c r="L37" s="56"/>
      <c r="M37" s="57"/>
      <c r="N37" s="47"/>
      <c r="P37" s="63"/>
      <c r="Q37" s="47"/>
      <c r="S37" s="58">
        <f>ROUND((ROUND((_11_A通院１１．０*_11・基礎１),0)*(1+_11・A早朝)),0)+ROUND((_11_B通院１１．０＿１．５*_11・基礎１),0)</f>
        <v>599</v>
      </c>
      <c r="T37" s="59"/>
    </row>
    <row r="38" spans="1:20" ht="16.5" customHeight="1" x14ac:dyDescent="0.2">
      <c r="A38" s="44">
        <v>16</v>
      </c>
      <c r="B38" s="53">
        <v>3394</v>
      </c>
      <c r="C38" s="69" t="s">
        <v>808</v>
      </c>
      <c r="D38" s="67"/>
      <c r="E38" s="83"/>
      <c r="F38" s="84">
        <f>_11_B通院１１．０＿１．５</f>
        <v>350</v>
      </c>
      <c r="G38" s="25" t="s">
        <v>394</v>
      </c>
      <c r="H38" s="242"/>
      <c r="I38" s="49"/>
      <c r="J38" s="50"/>
      <c r="K38" s="55" t="s">
        <v>396</v>
      </c>
      <c r="L38" s="56" t="s">
        <v>397</v>
      </c>
      <c r="M38" s="57">
        <v>1</v>
      </c>
      <c r="N38" s="47"/>
      <c r="P38" s="63"/>
      <c r="Q38" s="54"/>
      <c r="R38" s="49"/>
      <c r="S38" s="58">
        <f>ROUND((ROUND((ROUND((_11_A通院１１．０*_11・基礎１),0)*_11・２人),0)*(1+_11・A早朝)),0)+ROUND((ROUND((_11_B通院１１．０＿１．５*_11・基礎１),0)*_11・２人),0)</f>
        <v>599</v>
      </c>
      <c r="T38" s="59"/>
    </row>
    <row r="39" spans="1:20" ht="16.5" customHeight="1" x14ac:dyDescent="0.2">
      <c r="A39" s="44">
        <v>16</v>
      </c>
      <c r="B39" s="53">
        <v>3395</v>
      </c>
      <c r="C39" s="69" t="s">
        <v>809</v>
      </c>
      <c r="D39" s="67"/>
      <c r="E39" s="83"/>
      <c r="F39" s="243" t="s">
        <v>1978</v>
      </c>
      <c r="G39" s="244"/>
      <c r="H39" s="62"/>
      <c r="I39" s="60"/>
      <c r="J39" s="61"/>
      <c r="K39" s="55"/>
      <c r="L39" s="56"/>
      <c r="M39" s="57"/>
      <c r="N39" s="47"/>
      <c r="P39" s="63"/>
      <c r="Q39" s="62"/>
      <c r="R39" s="60"/>
      <c r="S39" s="58">
        <f>ROUND((_11_A通院１１．０*(1+_11・A早朝)),0)+_11_B通院１１．０＿２．０</f>
        <v>938</v>
      </c>
      <c r="T39" s="59"/>
    </row>
    <row r="40" spans="1:20" ht="16.5" customHeight="1" x14ac:dyDescent="0.2">
      <c r="A40" s="44">
        <v>16</v>
      </c>
      <c r="B40" s="53">
        <v>3396</v>
      </c>
      <c r="C40" s="69" t="s">
        <v>810</v>
      </c>
      <c r="D40" s="67"/>
      <c r="E40" s="83"/>
      <c r="F40" s="245"/>
      <c r="G40" s="246"/>
      <c r="H40" s="54"/>
      <c r="I40" s="49"/>
      <c r="J40" s="50"/>
      <c r="K40" s="55" t="s">
        <v>396</v>
      </c>
      <c r="L40" s="56" t="s">
        <v>397</v>
      </c>
      <c r="M40" s="57">
        <v>1</v>
      </c>
      <c r="N40" s="47"/>
      <c r="P40" s="63"/>
      <c r="Q40" s="47"/>
      <c r="S40" s="58">
        <f>ROUND((ROUND((_11_A通院１１．０*_11・２人),0)*(1+_11・A早朝)),0)+ROUND((_11_B通院１１．０＿２．０*_11・２人),0)</f>
        <v>938</v>
      </c>
      <c r="T40" s="59"/>
    </row>
    <row r="41" spans="1:20" ht="16.5" customHeight="1" x14ac:dyDescent="0.2">
      <c r="A41" s="44">
        <v>16</v>
      </c>
      <c r="B41" s="53">
        <v>3397</v>
      </c>
      <c r="C41" s="69" t="s">
        <v>811</v>
      </c>
      <c r="D41" s="67"/>
      <c r="E41" s="83"/>
      <c r="F41" s="245"/>
      <c r="G41" s="246"/>
      <c r="H41" s="241" t="s">
        <v>398</v>
      </c>
      <c r="I41" s="60" t="s">
        <v>397</v>
      </c>
      <c r="J41" s="61">
        <v>0.7</v>
      </c>
      <c r="K41" s="55"/>
      <c r="L41" s="56"/>
      <c r="M41" s="57"/>
      <c r="N41" s="47"/>
      <c r="P41" s="63"/>
      <c r="Q41" s="47"/>
      <c r="S41" s="58">
        <f>ROUND((ROUND((_11_A通院１１．０*_11・基礎１),0)*(1+_11・A早朝)),0)+ROUND((_11_B通院１１．０＿２．０*_11・基礎１),0)</f>
        <v>657</v>
      </c>
      <c r="T41" s="59"/>
    </row>
    <row r="42" spans="1:20" ht="16.5" customHeight="1" x14ac:dyDescent="0.2">
      <c r="A42" s="44">
        <v>16</v>
      </c>
      <c r="B42" s="53">
        <v>3398</v>
      </c>
      <c r="C42" s="69" t="s">
        <v>812</v>
      </c>
      <c r="D42" s="67"/>
      <c r="E42" s="83"/>
      <c r="F42" s="84">
        <f>_11_B通院１１．０＿２．０</f>
        <v>433</v>
      </c>
      <c r="G42" s="25" t="s">
        <v>394</v>
      </c>
      <c r="H42" s="242"/>
      <c r="I42" s="49"/>
      <c r="J42" s="50"/>
      <c r="K42" s="55" t="s">
        <v>396</v>
      </c>
      <c r="L42" s="56" t="s">
        <v>397</v>
      </c>
      <c r="M42" s="57">
        <v>1</v>
      </c>
      <c r="N42" s="47"/>
      <c r="P42" s="63"/>
      <c r="Q42" s="54"/>
      <c r="R42" s="49"/>
      <c r="S42" s="58">
        <f>ROUND((ROUND((ROUND((_11_A通院１１．０*_11・基礎１),0)*_11・２人),0)*(1+_11・A早朝)),0)+ROUND((ROUND((_11_B通院１１．０＿２．０*_11・基礎１),0)*_11・２人),0)</f>
        <v>657</v>
      </c>
      <c r="T42" s="59"/>
    </row>
    <row r="43" spans="1:20" ht="16.5" customHeight="1" x14ac:dyDescent="0.2">
      <c r="A43" s="44">
        <v>16</v>
      </c>
      <c r="B43" s="53">
        <v>3399</v>
      </c>
      <c r="C43" s="69" t="s">
        <v>813</v>
      </c>
      <c r="D43" s="243" t="s">
        <v>1945</v>
      </c>
      <c r="E43" s="244"/>
      <c r="F43" s="243" t="s">
        <v>1975</v>
      </c>
      <c r="G43" s="244"/>
      <c r="H43" s="62"/>
      <c r="I43" s="60"/>
      <c r="J43" s="61"/>
      <c r="K43" s="55"/>
      <c r="L43" s="56"/>
      <c r="M43" s="57"/>
      <c r="N43" s="67"/>
      <c r="P43" s="63"/>
      <c r="Q43" s="62"/>
      <c r="R43" s="60"/>
      <c r="S43" s="58">
        <f>ROUND((_11_A通院１１．５*(1+_11・A早朝)),0)+_11_B通院１１．５＿０．５</f>
        <v>816</v>
      </c>
      <c r="T43" s="52"/>
    </row>
    <row r="44" spans="1:20" ht="16.5" customHeight="1" x14ac:dyDescent="0.2">
      <c r="A44" s="44">
        <v>16</v>
      </c>
      <c r="B44" s="53">
        <v>3400</v>
      </c>
      <c r="C44" s="69" t="s">
        <v>814</v>
      </c>
      <c r="D44" s="245"/>
      <c r="E44" s="246"/>
      <c r="F44" s="245"/>
      <c r="G44" s="246"/>
      <c r="H44" s="54"/>
      <c r="I44" s="49"/>
      <c r="J44" s="50"/>
      <c r="K44" s="55" t="s">
        <v>396</v>
      </c>
      <c r="L44" s="56" t="s">
        <v>397</v>
      </c>
      <c r="M44" s="57">
        <v>1</v>
      </c>
      <c r="N44" s="47"/>
      <c r="P44" s="248"/>
      <c r="Q44" s="47"/>
      <c r="S44" s="58">
        <f>ROUND((ROUND((_11_A通院１１．５*_11・２人),0)*(1+_11・A早朝)),0)+ROUND((_11_B通院１１．５＿０．５*_11・２人),0)</f>
        <v>816</v>
      </c>
      <c r="T44" s="59"/>
    </row>
    <row r="45" spans="1:20" ht="16.5" customHeight="1" x14ac:dyDescent="0.2">
      <c r="A45" s="44">
        <v>16</v>
      </c>
      <c r="B45" s="53">
        <v>3401</v>
      </c>
      <c r="C45" s="69" t="s">
        <v>815</v>
      </c>
      <c r="D45" s="245"/>
      <c r="E45" s="246"/>
      <c r="F45" s="245"/>
      <c r="G45" s="246"/>
      <c r="H45" s="241" t="s">
        <v>398</v>
      </c>
      <c r="I45" s="60" t="s">
        <v>397</v>
      </c>
      <c r="J45" s="61">
        <v>0.7</v>
      </c>
      <c r="K45" s="55"/>
      <c r="L45" s="56"/>
      <c r="M45" s="57"/>
      <c r="N45" s="47"/>
      <c r="P45" s="248"/>
      <c r="Q45" s="47"/>
      <c r="S45" s="58">
        <f>ROUND((ROUND((_11_A通院１１．５*_11・基礎１),0)*(1+_11・A早朝)),0)+ROUND((_11_B通院１１．５＿０．５*_11・基礎１),0)</f>
        <v>571</v>
      </c>
      <c r="T45" s="59"/>
    </row>
    <row r="46" spans="1:20" ht="16.5" customHeight="1" x14ac:dyDescent="0.2">
      <c r="A46" s="44">
        <v>16</v>
      </c>
      <c r="B46" s="53">
        <v>3402</v>
      </c>
      <c r="C46" s="69" t="s">
        <v>816</v>
      </c>
      <c r="D46" s="84">
        <f>_11_A通院１１．５</f>
        <v>587</v>
      </c>
      <c r="E46" s="25" t="s">
        <v>394</v>
      </c>
      <c r="F46" s="84">
        <f>_11_B通院１１．５＿０．５</f>
        <v>82</v>
      </c>
      <c r="G46" s="25" t="s">
        <v>394</v>
      </c>
      <c r="H46" s="242"/>
      <c r="I46" s="49"/>
      <c r="J46" s="50"/>
      <c r="K46" s="55" t="s">
        <v>396</v>
      </c>
      <c r="L46" s="56" t="s">
        <v>397</v>
      </c>
      <c r="M46" s="57">
        <v>1</v>
      </c>
      <c r="N46" s="47"/>
      <c r="P46" s="63"/>
      <c r="Q46" s="54"/>
      <c r="R46" s="49"/>
      <c r="S46" s="58">
        <f>ROUND((ROUND((ROUND((_11_A通院１１．５*_11・基礎１),0)*_11・２人),0)*(1+_11・A早朝)),0)+ROUND((ROUND((_11_B通院１１．５＿０．５*_11・基礎１),0)*_11・２人),0)</f>
        <v>571</v>
      </c>
      <c r="T46" s="59"/>
    </row>
    <row r="47" spans="1:20" ht="16.5" customHeight="1" x14ac:dyDescent="0.2">
      <c r="A47" s="44">
        <v>16</v>
      </c>
      <c r="B47" s="44">
        <v>3403</v>
      </c>
      <c r="C47" s="45" t="s">
        <v>817</v>
      </c>
      <c r="D47" s="67"/>
      <c r="E47" s="85"/>
      <c r="F47" s="239" t="s">
        <v>1976</v>
      </c>
      <c r="G47" s="240"/>
      <c r="H47" s="47"/>
      <c r="K47" s="48"/>
      <c r="L47" s="49"/>
      <c r="M47" s="50"/>
      <c r="N47" s="47"/>
      <c r="P47" s="63"/>
      <c r="Q47" s="47"/>
      <c r="S47" s="51">
        <f>ROUND((_11_A通院１１．５*(1+_11・A早朝)),0)+_11_B通院１１．５＿１．０</f>
        <v>901</v>
      </c>
      <c r="T47" s="59"/>
    </row>
    <row r="48" spans="1:20" ht="16.5" customHeight="1" x14ac:dyDescent="0.2">
      <c r="A48" s="44">
        <v>16</v>
      </c>
      <c r="B48" s="53">
        <v>3404</v>
      </c>
      <c r="C48" s="69" t="s">
        <v>818</v>
      </c>
      <c r="D48" s="67"/>
      <c r="E48" s="83"/>
      <c r="F48" s="239"/>
      <c r="G48" s="240"/>
      <c r="H48" s="54"/>
      <c r="I48" s="49"/>
      <c r="J48" s="50"/>
      <c r="K48" s="55" t="s">
        <v>396</v>
      </c>
      <c r="L48" s="56" t="s">
        <v>397</v>
      </c>
      <c r="M48" s="57">
        <v>1</v>
      </c>
      <c r="N48" s="47"/>
      <c r="P48" s="63"/>
      <c r="Q48" s="47"/>
      <c r="S48" s="58">
        <f>ROUND((ROUND((_11_A通院１１．５*_11・２人),0)*(1+_11・A早朝)),0)+ROUND((_11_B通院１１．５＿１．０*_11・２人),0)</f>
        <v>901</v>
      </c>
      <c r="T48" s="59"/>
    </row>
    <row r="49" spans="1:20" ht="16.5" customHeight="1" x14ac:dyDescent="0.2">
      <c r="A49" s="44">
        <v>16</v>
      </c>
      <c r="B49" s="53">
        <v>3405</v>
      </c>
      <c r="C49" s="69" t="s">
        <v>819</v>
      </c>
      <c r="D49" s="67"/>
      <c r="E49" s="83"/>
      <c r="F49" s="239"/>
      <c r="G49" s="240"/>
      <c r="H49" s="241" t="s">
        <v>398</v>
      </c>
      <c r="I49" s="60" t="s">
        <v>397</v>
      </c>
      <c r="J49" s="61">
        <v>0.7</v>
      </c>
      <c r="K49" s="55"/>
      <c r="L49" s="56"/>
      <c r="M49" s="57"/>
      <c r="N49" s="47"/>
      <c r="P49" s="63"/>
      <c r="Q49" s="47"/>
      <c r="S49" s="58">
        <f>ROUND((ROUND((_11_A通院１１．５*_11・基礎１),0)*(1+_11・A早朝)),0)+ROUND((_11_B通院１１．５＿１．０*_11・基礎１),0)</f>
        <v>631</v>
      </c>
      <c r="T49" s="59"/>
    </row>
    <row r="50" spans="1:20" ht="16.5" customHeight="1" x14ac:dyDescent="0.2">
      <c r="A50" s="44">
        <v>16</v>
      </c>
      <c r="B50" s="53">
        <v>3406</v>
      </c>
      <c r="C50" s="69" t="s">
        <v>820</v>
      </c>
      <c r="D50" s="67"/>
      <c r="E50" s="83"/>
      <c r="F50" s="84">
        <f>_11_B通院１１．５＿１．０</f>
        <v>167</v>
      </c>
      <c r="G50" s="25" t="s">
        <v>394</v>
      </c>
      <c r="H50" s="242"/>
      <c r="I50" s="49"/>
      <c r="J50" s="50"/>
      <c r="K50" s="55" t="s">
        <v>396</v>
      </c>
      <c r="L50" s="56" t="s">
        <v>397</v>
      </c>
      <c r="M50" s="57">
        <v>1</v>
      </c>
      <c r="N50" s="47"/>
      <c r="P50" s="63"/>
      <c r="Q50" s="54"/>
      <c r="R50" s="49"/>
      <c r="S50" s="58">
        <f>ROUND((ROUND((ROUND((_11_A通院１１．５*_11・基礎１),0)*_11・２人),0)*(1+_11・A早朝)),0)+ROUND((ROUND((_11_B通院１１．５＿１．０*_11・基礎１),0)*_11・２人),0)</f>
        <v>631</v>
      </c>
      <c r="T50" s="59"/>
    </row>
    <row r="51" spans="1:20" ht="16.5" customHeight="1" x14ac:dyDescent="0.2">
      <c r="A51" s="44">
        <v>16</v>
      </c>
      <c r="B51" s="53">
        <v>3407</v>
      </c>
      <c r="C51" s="69" t="s">
        <v>821</v>
      </c>
      <c r="D51" s="67"/>
      <c r="E51" s="85"/>
      <c r="F51" s="243" t="s">
        <v>1977</v>
      </c>
      <c r="G51" s="244"/>
      <c r="H51" s="62"/>
      <c r="I51" s="60"/>
      <c r="J51" s="61"/>
      <c r="K51" s="55"/>
      <c r="L51" s="56"/>
      <c r="M51" s="57"/>
      <c r="N51" s="47"/>
      <c r="P51" s="63"/>
      <c r="Q51" s="62"/>
      <c r="R51" s="60"/>
      <c r="S51" s="58">
        <f>ROUND((_11_A通院１１．５*(1+_11・A早朝)),0)+_11_B通院１１．５＿１．５</f>
        <v>984</v>
      </c>
      <c r="T51" s="59"/>
    </row>
    <row r="52" spans="1:20" ht="16.5" customHeight="1" x14ac:dyDescent="0.2">
      <c r="A52" s="44">
        <v>16</v>
      </c>
      <c r="B52" s="53">
        <v>3408</v>
      </c>
      <c r="C52" s="69" t="s">
        <v>822</v>
      </c>
      <c r="D52" s="67"/>
      <c r="E52" s="83"/>
      <c r="F52" s="245"/>
      <c r="G52" s="246"/>
      <c r="H52" s="54"/>
      <c r="I52" s="49"/>
      <c r="J52" s="50"/>
      <c r="K52" s="55" t="s">
        <v>396</v>
      </c>
      <c r="L52" s="56" t="s">
        <v>397</v>
      </c>
      <c r="M52" s="57">
        <v>1</v>
      </c>
      <c r="N52" s="47"/>
      <c r="P52" s="63"/>
      <c r="Q52" s="47"/>
      <c r="S52" s="58">
        <f>ROUND((ROUND((_11_A通院１１．５*_11・２人),0)*(1+_11・A早朝)),0)+ROUND((_11_B通院１１．５＿１．５*_11・２人),0)</f>
        <v>984</v>
      </c>
      <c r="T52" s="59"/>
    </row>
    <row r="53" spans="1:20" ht="16.5" customHeight="1" x14ac:dyDescent="0.2">
      <c r="A53" s="44">
        <v>16</v>
      </c>
      <c r="B53" s="53">
        <v>3409</v>
      </c>
      <c r="C53" s="69" t="s">
        <v>823</v>
      </c>
      <c r="D53" s="67"/>
      <c r="E53" s="83"/>
      <c r="F53" s="245"/>
      <c r="G53" s="246"/>
      <c r="H53" s="241" t="s">
        <v>398</v>
      </c>
      <c r="I53" s="60" t="s">
        <v>397</v>
      </c>
      <c r="J53" s="61">
        <v>0.7</v>
      </c>
      <c r="K53" s="55"/>
      <c r="L53" s="56"/>
      <c r="M53" s="57"/>
      <c r="N53" s="47"/>
      <c r="P53" s="63"/>
      <c r="Q53" s="47"/>
      <c r="S53" s="58">
        <f>ROUND((ROUND((_11_A通院１１．５*_11・基礎１),0)*(1+_11・A早朝)),0)+ROUND((_11_B通院１１．５＿１．５*_11・基礎１),0)</f>
        <v>689</v>
      </c>
      <c r="T53" s="59"/>
    </row>
    <row r="54" spans="1:20" ht="16.5" customHeight="1" x14ac:dyDescent="0.2">
      <c r="A54" s="44">
        <v>16</v>
      </c>
      <c r="B54" s="53">
        <v>3410</v>
      </c>
      <c r="C54" s="69" t="s">
        <v>824</v>
      </c>
      <c r="D54" s="67"/>
      <c r="E54" s="83"/>
      <c r="F54" s="84">
        <f>_11_B通院１１．５＿１．５</f>
        <v>250</v>
      </c>
      <c r="G54" s="25" t="s">
        <v>394</v>
      </c>
      <c r="H54" s="242"/>
      <c r="I54" s="49"/>
      <c r="J54" s="50"/>
      <c r="K54" s="55" t="s">
        <v>396</v>
      </c>
      <c r="L54" s="56" t="s">
        <v>397</v>
      </c>
      <c r="M54" s="57">
        <v>1</v>
      </c>
      <c r="N54" s="47"/>
      <c r="P54" s="63"/>
      <c r="Q54" s="54"/>
      <c r="R54" s="49"/>
      <c r="S54" s="58">
        <f>ROUND((ROUND((ROUND((_11_A通院１１．５*_11・基礎１),0)*_11・２人),0)*(1+_11・A早朝)),0)+ROUND((ROUND((_11_B通院１１．５＿１．５*_11・基礎１),0)*_11・２人),0)</f>
        <v>689</v>
      </c>
      <c r="T54" s="59"/>
    </row>
    <row r="55" spans="1:20" ht="16.5" customHeight="1" x14ac:dyDescent="0.2">
      <c r="A55" s="44">
        <v>16</v>
      </c>
      <c r="B55" s="53">
        <v>3411</v>
      </c>
      <c r="C55" s="69" t="s">
        <v>825</v>
      </c>
      <c r="D55" s="243" t="s">
        <v>1946</v>
      </c>
      <c r="E55" s="244"/>
      <c r="F55" s="243" t="s">
        <v>1975</v>
      </c>
      <c r="G55" s="244"/>
      <c r="H55" s="62"/>
      <c r="I55" s="60"/>
      <c r="J55" s="61"/>
      <c r="K55" s="55"/>
      <c r="L55" s="56"/>
      <c r="M55" s="57"/>
      <c r="N55" s="47"/>
      <c r="P55" s="63"/>
      <c r="Q55" s="62"/>
      <c r="R55" s="60"/>
      <c r="S55" s="58">
        <f>ROUND((_11_A通院１２．０*(1+_11・A早朝)),0)+_11_B通院１２．０＿０．５</f>
        <v>921</v>
      </c>
      <c r="T55" s="59"/>
    </row>
    <row r="56" spans="1:20" ht="16.5" customHeight="1" x14ac:dyDescent="0.2">
      <c r="A56" s="44">
        <v>16</v>
      </c>
      <c r="B56" s="53">
        <v>3412</v>
      </c>
      <c r="C56" s="69" t="s">
        <v>826</v>
      </c>
      <c r="D56" s="245"/>
      <c r="E56" s="246"/>
      <c r="F56" s="245"/>
      <c r="G56" s="246"/>
      <c r="H56" s="54"/>
      <c r="I56" s="49"/>
      <c r="J56" s="50"/>
      <c r="K56" s="55" t="s">
        <v>396</v>
      </c>
      <c r="L56" s="56" t="s">
        <v>397</v>
      </c>
      <c r="M56" s="57">
        <v>1</v>
      </c>
      <c r="N56" s="47"/>
      <c r="P56" s="63"/>
      <c r="Q56" s="47"/>
      <c r="S56" s="58">
        <f>ROUND((ROUND((_11_A通院１２．０*_11・２人),0)*(1+_11・A早朝)),0)+ROUND((_11_B通院１２．０＿０．５*_11・２人),0)</f>
        <v>921</v>
      </c>
      <c r="T56" s="59"/>
    </row>
    <row r="57" spans="1:20" ht="16.5" customHeight="1" x14ac:dyDescent="0.2">
      <c r="A57" s="44">
        <v>16</v>
      </c>
      <c r="B57" s="53">
        <v>3413</v>
      </c>
      <c r="C57" s="69" t="s">
        <v>827</v>
      </c>
      <c r="D57" s="245"/>
      <c r="E57" s="246"/>
      <c r="F57" s="245"/>
      <c r="G57" s="246"/>
      <c r="H57" s="241" t="s">
        <v>398</v>
      </c>
      <c r="I57" s="60" t="s">
        <v>397</v>
      </c>
      <c r="J57" s="61">
        <v>0.7</v>
      </c>
      <c r="K57" s="55"/>
      <c r="L57" s="56"/>
      <c r="M57" s="57"/>
      <c r="N57" s="47"/>
      <c r="P57" s="63"/>
      <c r="Q57" s="47"/>
      <c r="S57" s="58">
        <f>ROUND((ROUND((_11_A通院１２．０*_11・基礎１),0)*(1+_11・A早朝)),0)+ROUND((_11_B通院１２．０＿０．５*_11・基礎１),0)</f>
        <v>645</v>
      </c>
      <c r="T57" s="59"/>
    </row>
    <row r="58" spans="1:20" ht="16.5" customHeight="1" x14ac:dyDescent="0.2">
      <c r="A58" s="44">
        <v>16</v>
      </c>
      <c r="B58" s="53">
        <v>3414</v>
      </c>
      <c r="C58" s="69" t="s">
        <v>828</v>
      </c>
      <c r="D58" s="84">
        <f>_11_A通院１２．０</f>
        <v>669</v>
      </c>
      <c r="E58" s="25" t="s">
        <v>394</v>
      </c>
      <c r="F58" s="84">
        <f>_11_B通院１２．０＿０．５</f>
        <v>85</v>
      </c>
      <c r="G58" s="25" t="s">
        <v>394</v>
      </c>
      <c r="H58" s="242"/>
      <c r="I58" s="49"/>
      <c r="J58" s="50"/>
      <c r="K58" s="55" t="s">
        <v>396</v>
      </c>
      <c r="L58" s="56" t="s">
        <v>397</v>
      </c>
      <c r="M58" s="57">
        <v>1</v>
      </c>
      <c r="N58" s="47"/>
      <c r="P58" s="63"/>
      <c r="Q58" s="54"/>
      <c r="R58" s="49"/>
      <c r="S58" s="58">
        <f>ROUND((ROUND((ROUND((_11_A通院１２．０*_11・基礎１),0)*_11・２人),0)*(1+_11・A早朝)),0)+ROUND((ROUND((_11_B通院１２．０＿０．５*_11・基礎１),0)*_11・２人),0)</f>
        <v>645</v>
      </c>
      <c r="T58" s="59"/>
    </row>
    <row r="59" spans="1:20" ht="16.5" customHeight="1" x14ac:dyDescent="0.2">
      <c r="A59" s="44">
        <v>16</v>
      </c>
      <c r="B59" s="53">
        <v>3415</v>
      </c>
      <c r="C59" s="69" t="s">
        <v>829</v>
      </c>
      <c r="D59" s="67"/>
      <c r="E59" s="83"/>
      <c r="F59" s="243" t="s">
        <v>1976</v>
      </c>
      <c r="G59" s="244"/>
      <c r="H59" s="62"/>
      <c r="I59" s="60"/>
      <c r="J59" s="61"/>
      <c r="K59" s="55"/>
      <c r="L59" s="56"/>
      <c r="M59" s="57"/>
      <c r="N59" s="47"/>
      <c r="P59" s="63"/>
      <c r="Q59" s="62"/>
      <c r="R59" s="60"/>
      <c r="S59" s="58">
        <f>ROUND((_11_A通院１２．０*(1+_11・A早朝)),0)+_11_B通院１２．０＿１．０</f>
        <v>1004</v>
      </c>
      <c r="T59" s="59"/>
    </row>
    <row r="60" spans="1:20" ht="16.5" customHeight="1" x14ac:dyDescent="0.2">
      <c r="A60" s="44">
        <v>16</v>
      </c>
      <c r="B60" s="53">
        <v>3416</v>
      </c>
      <c r="C60" s="69" t="s">
        <v>830</v>
      </c>
      <c r="D60" s="67"/>
      <c r="E60" s="83"/>
      <c r="F60" s="245"/>
      <c r="G60" s="246"/>
      <c r="H60" s="54"/>
      <c r="I60" s="49"/>
      <c r="J60" s="50"/>
      <c r="K60" s="55" t="s">
        <v>396</v>
      </c>
      <c r="L60" s="56" t="s">
        <v>397</v>
      </c>
      <c r="M60" s="57">
        <v>1</v>
      </c>
      <c r="N60" s="47"/>
      <c r="P60" s="63"/>
      <c r="Q60" s="47"/>
      <c r="S60" s="58">
        <f>ROUND((ROUND((_11_A通院１２．０*_11・２人),0)*(1+_11・A早朝)),0)+ROUND((_11_B通院１２．０＿１．０*_11・２人),0)</f>
        <v>1004</v>
      </c>
      <c r="T60" s="59"/>
    </row>
    <row r="61" spans="1:20" ht="16.5" customHeight="1" x14ac:dyDescent="0.2">
      <c r="A61" s="44">
        <v>16</v>
      </c>
      <c r="B61" s="53">
        <v>3417</v>
      </c>
      <c r="C61" s="69" t="s">
        <v>831</v>
      </c>
      <c r="D61" s="67"/>
      <c r="E61" s="83"/>
      <c r="F61" s="245"/>
      <c r="G61" s="246"/>
      <c r="H61" s="241" t="s">
        <v>398</v>
      </c>
      <c r="I61" s="60" t="s">
        <v>397</v>
      </c>
      <c r="J61" s="61">
        <v>0.7</v>
      </c>
      <c r="K61" s="55"/>
      <c r="L61" s="56"/>
      <c r="M61" s="57"/>
      <c r="N61" s="47"/>
      <c r="P61" s="63"/>
      <c r="Q61" s="47"/>
      <c r="S61" s="58">
        <f>ROUND((ROUND((_11_A通院１２．０*_11・基礎１),0)*(1+_11・A早朝)),0)+ROUND((_11_B通院１２．０＿１．０*_11・基礎１),0)</f>
        <v>703</v>
      </c>
      <c r="T61" s="59"/>
    </row>
    <row r="62" spans="1:20" ht="16.5" customHeight="1" x14ac:dyDescent="0.2">
      <c r="A62" s="44">
        <v>16</v>
      </c>
      <c r="B62" s="53">
        <v>3418</v>
      </c>
      <c r="C62" s="69" t="s">
        <v>832</v>
      </c>
      <c r="D62" s="67"/>
      <c r="E62" s="83"/>
      <c r="F62" s="84">
        <f>_11_B通院１２．０＿１．０</f>
        <v>168</v>
      </c>
      <c r="G62" s="25" t="s">
        <v>394</v>
      </c>
      <c r="H62" s="242"/>
      <c r="I62" s="49"/>
      <c r="J62" s="50"/>
      <c r="K62" s="55" t="s">
        <v>396</v>
      </c>
      <c r="L62" s="56" t="s">
        <v>397</v>
      </c>
      <c r="M62" s="57">
        <v>1</v>
      </c>
      <c r="N62" s="47"/>
      <c r="P62" s="63"/>
      <c r="Q62" s="54"/>
      <c r="R62" s="49"/>
      <c r="S62" s="58">
        <f>ROUND((ROUND((ROUND((_11_A通院１２．０*_11・基礎１),0)*_11・２人),0)*(1+_11・A早朝)),0)+ROUND((ROUND((_11_B通院１２．０＿１．０*_11・基礎１),0)*_11・２人),0)</f>
        <v>703</v>
      </c>
      <c r="T62" s="59"/>
    </row>
    <row r="63" spans="1:20" ht="16.5" customHeight="1" x14ac:dyDescent="0.2">
      <c r="A63" s="44">
        <v>16</v>
      </c>
      <c r="B63" s="53">
        <v>3419</v>
      </c>
      <c r="C63" s="69" t="s">
        <v>833</v>
      </c>
      <c r="D63" s="243" t="s">
        <v>1947</v>
      </c>
      <c r="E63" s="244"/>
      <c r="F63" s="243" t="s">
        <v>1975</v>
      </c>
      <c r="G63" s="244"/>
      <c r="H63" s="62"/>
      <c r="I63" s="60"/>
      <c r="J63" s="61"/>
      <c r="K63" s="55"/>
      <c r="L63" s="56"/>
      <c r="M63" s="57"/>
      <c r="N63" s="47"/>
      <c r="O63" s="176"/>
      <c r="P63" s="63"/>
      <c r="Q63" s="62"/>
      <c r="R63" s="60"/>
      <c r="S63" s="58">
        <f>ROUND((_11_A通院１２．５*(1+_11・A早朝)),0)+_11_B通院１２．５＿０．５</f>
        <v>1026</v>
      </c>
      <c r="T63" s="59"/>
    </row>
    <row r="64" spans="1:20" ht="16.5" customHeight="1" x14ac:dyDescent="0.2">
      <c r="A64" s="44">
        <v>16</v>
      </c>
      <c r="B64" s="53">
        <v>3420</v>
      </c>
      <c r="C64" s="69" t="s">
        <v>834</v>
      </c>
      <c r="D64" s="245"/>
      <c r="E64" s="246"/>
      <c r="F64" s="245"/>
      <c r="G64" s="246"/>
      <c r="H64" s="54"/>
      <c r="I64" s="49"/>
      <c r="J64" s="50"/>
      <c r="K64" s="55" t="s">
        <v>396</v>
      </c>
      <c r="L64" s="56" t="s">
        <v>397</v>
      </c>
      <c r="M64" s="57">
        <v>1</v>
      </c>
      <c r="N64" s="47"/>
      <c r="O64" s="176"/>
      <c r="P64" s="63"/>
      <c r="Q64" s="47"/>
      <c r="R64" s="175"/>
      <c r="S64" s="58">
        <f>ROUND((ROUND((_11_A通院１２．５*_11・２人),0)*(1+_11・A早朝)),0)+ROUND((_11_B通院１２．５＿０．５*_11・２人),0)</f>
        <v>1026</v>
      </c>
      <c r="T64" s="59"/>
    </row>
    <row r="65" spans="1:20" ht="16.5" customHeight="1" x14ac:dyDescent="0.2">
      <c r="A65" s="44">
        <v>16</v>
      </c>
      <c r="B65" s="53">
        <v>3421</v>
      </c>
      <c r="C65" s="69" t="s">
        <v>835</v>
      </c>
      <c r="D65" s="245"/>
      <c r="E65" s="246"/>
      <c r="F65" s="245"/>
      <c r="G65" s="246"/>
      <c r="H65" s="241" t="s">
        <v>398</v>
      </c>
      <c r="I65" s="60" t="s">
        <v>397</v>
      </c>
      <c r="J65" s="61">
        <v>0.7</v>
      </c>
      <c r="K65" s="55"/>
      <c r="L65" s="56"/>
      <c r="M65" s="57"/>
      <c r="N65" s="47"/>
      <c r="O65" s="176"/>
      <c r="P65" s="63"/>
      <c r="Q65" s="47"/>
      <c r="R65" s="175"/>
      <c r="S65" s="58">
        <f>ROUND((ROUND((_11_A通院１２．５*_11・基礎１),0)*(1+_11・A早朝)),0)+ROUND((_11_B通院１２．５＿０．５*_11・基礎１),0)</f>
        <v>718</v>
      </c>
      <c r="T65" s="59"/>
    </row>
    <row r="66" spans="1:20" ht="16.5" customHeight="1" x14ac:dyDescent="0.2">
      <c r="A66" s="44">
        <v>16</v>
      </c>
      <c r="B66" s="53">
        <v>3422</v>
      </c>
      <c r="C66" s="69" t="s">
        <v>836</v>
      </c>
      <c r="D66" s="110">
        <f>_11_A通院１２．５</f>
        <v>754</v>
      </c>
      <c r="E66" s="49" t="s">
        <v>394</v>
      </c>
      <c r="F66" s="110">
        <f>_11_B通院１２．５＿０．５</f>
        <v>83</v>
      </c>
      <c r="G66" s="49" t="s">
        <v>394</v>
      </c>
      <c r="H66" s="242"/>
      <c r="I66" s="49"/>
      <c r="J66" s="50"/>
      <c r="K66" s="55" t="s">
        <v>396</v>
      </c>
      <c r="L66" s="56" t="s">
        <v>397</v>
      </c>
      <c r="M66" s="57">
        <v>1</v>
      </c>
      <c r="N66" s="54"/>
      <c r="O66" s="50"/>
      <c r="P66" s="97"/>
      <c r="Q66" s="54"/>
      <c r="R66" s="49"/>
      <c r="S66" s="58">
        <f>ROUND((ROUND((ROUND((_11_A通院１２．５*_11・基礎１),0)*_11・２人),0)*(1+_11・A早朝)),0)+ROUND((ROUND((_11_B通院１２．５＿０．５*_11・基礎１),0)*_11・２人),0)</f>
        <v>718</v>
      </c>
      <c r="T66" s="111"/>
    </row>
    <row r="67" spans="1:20" ht="16.5" customHeight="1" x14ac:dyDescent="0.2"/>
    <row r="68" spans="1:20" ht="16.5" customHeight="1" x14ac:dyDescent="0.2"/>
  </sheetData>
  <mergeCells count="37">
    <mergeCell ref="D7:E9"/>
    <mergeCell ref="F7:G9"/>
    <mergeCell ref="P8:P9"/>
    <mergeCell ref="H9:H10"/>
    <mergeCell ref="F11:G13"/>
    <mergeCell ref="H13:H14"/>
    <mergeCell ref="F15:G17"/>
    <mergeCell ref="H17:H18"/>
    <mergeCell ref="F19:G21"/>
    <mergeCell ref="H21:H22"/>
    <mergeCell ref="F23:G25"/>
    <mergeCell ref="H25:H26"/>
    <mergeCell ref="D27:E29"/>
    <mergeCell ref="F27:G29"/>
    <mergeCell ref="H29:H30"/>
    <mergeCell ref="F31:G33"/>
    <mergeCell ref="H33:H34"/>
    <mergeCell ref="F35:G37"/>
    <mergeCell ref="H37:H38"/>
    <mergeCell ref="F39:G41"/>
    <mergeCell ref="H41:H42"/>
    <mergeCell ref="D43:E45"/>
    <mergeCell ref="F43:G45"/>
    <mergeCell ref="P44:P45"/>
    <mergeCell ref="H45:H46"/>
    <mergeCell ref="F47:G49"/>
    <mergeCell ref="H49:H50"/>
    <mergeCell ref="F51:G53"/>
    <mergeCell ref="H53:H54"/>
    <mergeCell ref="D63:E65"/>
    <mergeCell ref="F63:G65"/>
    <mergeCell ref="H65:H66"/>
    <mergeCell ref="D55:E57"/>
    <mergeCell ref="F55:G57"/>
    <mergeCell ref="H57:H58"/>
    <mergeCell ref="F59:G61"/>
    <mergeCell ref="H61:H6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77"/>
  <sheetViews>
    <sheetView workbookViewId="0"/>
  </sheetViews>
  <sheetFormatPr defaultColWidth="8.90625" defaultRowHeight="14" x14ac:dyDescent="0.2"/>
  <cols>
    <col min="1" max="1" width="4.6328125" style="22" customWidth="1"/>
    <col min="2" max="2" width="7.6328125" style="22" customWidth="1"/>
    <col min="3" max="3" width="48.453125" style="23" bestFit="1" customWidth="1"/>
    <col min="4" max="4" width="5.36328125" style="23" bestFit="1" customWidth="1"/>
    <col min="5" max="5" width="5.36328125" style="90" bestFit="1" customWidth="1"/>
    <col min="6" max="6" width="5.36328125" style="23" bestFit="1" customWidth="1"/>
    <col min="7" max="7" width="5.36328125" style="90" bestFit="1" customWidth="1"/>
    <col min="8" max="8" width="4.90625" style="23" customWidth="1"/>
    <col min="9" max="9" width="4.453125" style="25" bestFit="1" customWidth="1"/>
    <col min="10" max="10" width="11.90625" style="25" customWidth="1"/>
    <col min="11" max="11" width="3.453125" style="25" bestFit="1" customWidth="1"/>
    <col min="12" max="12" width="4.453125" style="26" bestFit="1" customWidth="1"/>
    <col min="13" max="13" width="25.36328125" style="27" bestFit="1" customWidth="1"/>
    <col min="14" max="14" width="3.453125" style="25" bestFit="1" customWidth="1"/>
    <col min="15" max="15" width="5.453125" style="26" bestFit="1" customWidth="1"/>
    <col min="16" max="16" width="3.453125" style="25" bestFit="1" customWidth="1"/>
    <col min="17" max="17" width="4.453125" style="26" bestFit="1" customWidth="1"/>
    <col min="18" max="18" width="5.36328125" style="25" bestFit="1" customWidth="1"/>
    <col min="19" max="19" width="3.453125" style="25" bestFit="1" customWidth="1"/>
    <col min="20" max="20" width="4.453125" style="26" bestFit="1" customWidth="1"/>
    <col min="21" max="21" width="5.36328125" style="25" bestFit="1" customWidth="1"/>
    <col min="22" max="22" width="9.90625" style="25" customWidth="1"/>
    <col min="23" max="23" width="4.453125" style="25" bestFit="1" customWidth="1"/>
    <col min="24" max="24" width="7.08984375" style="28" customWidth="1"/>
    <col min="25" max="25" width="8.6328125" style="29" customWidth="1"/>
    <col min="26" max="16384" width="8.90625" style="25"/>
  </cols>
  <sheetData>
    <row r="1" spans="1:25" ht="17.149999999999999" customHeight="1" x14ac:dyDescent="0.2"/>
    <row r="2" spans="1:25" ht="17.149999999999999" customHeight="1" x14ac:dyDescent="0.2"/>
    <row r="3" spans="1:25" ht="17.149999999999999" customHeight="1" x14ac:dyDescent="0.2"/>
    <row r="4" spans="1:25" ht="17.149999999999999" customHeight="1" x14ac:dyDescent="0.2">
      <c r="B4" s="30" t="s">
        <v>837</v>
      </c>
      <c r="D4" s="65"/>
    </row>
    <row r="5" spans="1:25" ht="16.5" customHeight="1" x14ac:dyDescent="0.2">
      <c r="A5" s="31" t="s">
        <v>386</v>
      </c>
      <c r="B5" s="32"/>
      <c r="C5" s="33" t="s">
        <v>387</v>
      </c>
      <c r="D5" s="34" t="s">
        <v>388</v>
      </c>
      <c r="E5" s="91"/>
      <c r="F5" s="34"/>
      <c r="G5" s="91"/>
      <c r="H5" s="34"/>
      <c r="I5" s="34"/>
      <c r="J5" s="34"/>
      <c r="K5" s="34"/>
      <c r="L5" s="35"/>
      <c r="M5" s="34"/>
      <c r="N5" s="34"/>
      <c r="O5" s="35"/>
      <c r="P5" s="34"/>
      <c r="Q5" s="35"/>
      <c r="R5" s="34"/>
      <c r="S5" s="34"/>
      <c r="T5" s="35"/>
      <c r="U5" s="34"/>
      <c r="V5" s="34"/>
      <c r="W5" s="34"/>
      <c r="X5" s="36" t="s">
        <v>389</v>
      </c>
      <c r="Y5" s="33" t="s">
        <v>390</v>
      </c>
    </row>
    <row r="6" spans="1:25" ht="16.5" customHeight="1" x14ac:dyDescent="0.2">
      <c r="A6" s="37" t="s">
        <v>391</v>
      </c>
      <c r="B6" s="37" t="s">
        <v>392</v>
      </c>
      <c r="C6" s="38"/>
      <c r="D6" s="40"/>
      <c r="E6" s="93"/>
      <c r="F6" s="77" t="s">
        <v>403</v>
      </c>
      <c r="G6" s="92"/>
      <c r="H6" s="40"/>
      <c r="I6" s="40"/>
      <c r="J6" s="40"/>
      <c r="K6" s="40"/>
      <c r="L6" s="41"/>
      <c r="M6" s="40"/>
      <c r="N6" s="40"/>
      <c r="O6" s="41"/>
      <c r="P6" s="40"/>
      <c r="Q6" s="41"/>
      <c r="R6" s="40"/>
      <c r="S6" s="40"/>
      <c r="T6" s="41"/>
      <c r="U6" s="40"/>
      <c r="V6" s="40"/>
      <c r="W6" s="40"/>
      <c r="X6" s="42" t="s">
        <v>393</v>
      </c>
      <c r="Y6" s="43" t="s">
        <v>394</v>
      </c>
    </row>
    <row r="7" spans="1:25" ht="16.5" customHeight="1" x14ac:dyDescent="0.2">
      <c r="A7" s="44">
        <v>16</v>
      </c>
      <c r="B7" s="44">
        <v>3423</v>
      </c>
      <c r="C7" s="45" t="s">
        <v>839</v>
      </c>
      <c r="D7" s="245" t="s">
        <v>1923</v>
      </c>
      <c r="E7" s="246"/>
      <c r="F7" s="245" t="s">
        <v>1980</v>
      </c>
      <c r="G7" s="246"/>
      <c r="H7" s="67"/>
      <c r="I7" s="63"/>
      <c r="J7" s="47"/>
      <c r="M7" s="48"/>
      <c r="N7" s="49"/>
      <c r="O7" s="50"/>
      <c r="P7" s="47"/>
      <c r="R7" s="63"/>
      <c r="S7" s="67" t="s">
        <v>408</v>
      </c>
      <c r="U7" s="63"/>
      <c r="V7" s="47"/>
      <c r="X7" s="51">
        <f>_11_A通院１０．５+ROUND((_11_B通院１０．５＿０．５*(1+_11・B夜間)),0)</f>
        <v>441</v>
      </c>
      <c r="Y7" s="52" t="s">
        <v>395</v>
      </c>
    </row>
    <row r="8" spans="1:25" ht="16.5" customHeight="1" x14ac:dyDescent="0.2">
      <c r="A8" s="44">
        <v>16</v>
      </c>
      <c r="B8" s="53">
        <v>3424</v>
      </c>
      <c r="C8" s="69" t="s">
        <v>840</v>
      </c>
      <c r="D8" s="245"/>
      <c r="E8" s="246"/>
      <c r="F8" s="245"/>
      <c r="G8" s="246"/>
      <c r="H8" s="67"/>
      <c r="I8" s="63"/>
      <c r="J8" s="54"/>
      <c r="K8" s="49"/>
      <c r="L8" s="50"/>
      <c r="M8" s="55" t="s">
        <v>396</v>
      </c>
      <c r="N8" s="56" t="s">
        <v>397</v>
      </c>
      <c r="O8" s="57">
        <v>1</v>
      </c>
      <c r="P8" s="47"/>
      <c r="R8" s="63"/>
      <c r="S8" s="47" t="s">
        <v>397</v>
      </c>
      <c r="T8" s="26">
        <v>0.25</v>
      </c>
      <c r="U8" s="248" t="s">
        <v>400</v>
      </c>
      <c r="V8" s="47"/>
      <c r="X8" s="58">
        <f>ROUND((_11_A通院１０．５*_11・２人),0)+ROUND((ROUND((_11_B通院１０．５＿０．５*_11・２人),0)*(1+_11・B夜間)),0)</f>
        <v>441</v>
      </c>
      <c r="Y8" s="59"/>
    </row>
    <row r="9" spans="1:25" ht="16.5" customHeight="1" x14ac:dyDescent="0.2">
      <c r="A9" s="44">
        <v>16</v>
      </c>
      <c r="B9" s="53">
        <v>3425</v>
      </c>
      <c r="C9" s="69" t="s">
        <v>841</v>
      </c>
      <c r="D9" s="245"/>
      <c r="E9" s="246"/>
      <c r="F9" s="245"/>
      <c r="G9" s="246"/>
      <c r="H9" s="67"/>
      <c r="I9" s="63"/>
      <c r="J9" s="241" t="s">
        <v>398</v>
      </c>
      <c r="K9" s="60" t="s">
        <v>397</v>
      </c>
      <c r="L9" s="61">
        <v>0.7</v>
      </c>
      <c r="M9" s="55"/>
      <c r="N9" s="56"/>
      <c r="O9" s="57"/>
      <c r="P9" s="47"/>
      <c r="R9" s="63"/>
      <c r="S9" s="47"/>
      <c r="U9" s="248"/>
      <c r="V9" s="47"/>
      <c r="X9" s="58">
        <f>ROUND((_11_A通院１０．５*_11・基礎１),0)+ROUND((ROUND((_11_B通院１０．５＿０．５*_11・基礎１),0)*(1+_11・B夜間)),0)</f>
        <v>309</v>
      </c>
      <c r="Y9" s="59"/>
    </row>
    <row r="10" spans="1:25" ht="16.5" customHeight="1" x14ac:dyDescent="0.2">
      <c r="A10" s="44">
        <v>16</v>
      </c>
      <c r="B10" s="53">
        <v>3426</v>
      </c>
      <c r="C10" s="69" t="s">
        <v>842</v>
      </c>
      <c r="D10" s="84">
        <f>_11_A通院１０．５</f>
        <v>256</v>
      </c>
      <c r="E10" s="25" t="s">
        <v>394</v>
      </c>
      <c r="F10" s="84">
        <f>_11_B通院１０．５＿０．５</f>
        <v>148</v>
      </c>
      <c r="G10" s="25" t="s">
        <v>394</v>
      </c>
      <c r="H10" s="67"/>
      <c r="I10" s="63"/>
      <c r="J10" s="242"/>
      <c r="K10" s="49"/>
      <c r="L10" s="50"/>
      <c r="M10" s="55" t="s">
        <v>396</v>
      </c>
      <c r="N10" s="56" t="s">
        <v>397</v>
      </c>
      <c r="O10" s="57">
        <v>1</v>
      </c>
      <c r="P10" s="47"/>
      <c r="R10" s="63"/>
      <c r="S10" s="47"/>
      <c r="U10" s="63"/>
      <c r="V10" s="54"/>
      <c r="W10" s="49"/>
      <c r="X10" s="58">
        <f>ROUND((ROUND((_11_A通院１０．５*_11・基礎１),0)*_11・２人),0)+ROUND((ROUND((ROUND((_11_B通院１０．５＿０．５*_11・基礎１),0)*_11・２人),0)*(1+_11・B夜間)),0)</f>
        <v>309</v>
      </c>
      <c r="Y10" s="59"/>
    </row>
    <row r="11" spans="1:25" ht="16.5" customHeight="1" x14ac:dyDescent="0.2">
      <c r="A11" s="44">
        <v>16</v>
      </c>
      <c r="B11" s="53">
        <v>3427</v>
      </c>
      <c r="C11" s="69" t="s">
        <v>843</v>
      </c>
      <c r="D11" s="67"/>
      <c r="E11" s="83"/>
      <c r="F11" s="243" t="s">
        <v>1981</v>
      </c>
      <c r="G11" s="244"/>
      <c r="H11" s="67"/>
      <c r="I11" s="63"/>
      <c r="J11" s="62"/>
      <c r="K11" s="60"/>
      <c r="L11" s="61"/>
      <c r="M11" s="55"/>
      <c r="N11" s="56"/>
      <c r="O11" s="57"/>
      <c r="P11" s="47"/>
      <c r="R11" s="63"/>
      <c r="S11" s="47"/>
      <c r="U11" s="63"/>
      <c r="V11" s="62"/>
      <c r="W11" s="60"/>
      <c r="X11" s="58">
        <f>_11_A通院１０．５+ROUND((_11_B通院１０．５＿１．０*(1+_11・B夜間)),0)</f>
        <v>670</v>
      </c>
      <c r="Y11" s="59"/>
    </row>
    <row r="12" spans="1:25" ht="16.5" customHeight="1" x14ac:dyDescent="0.2">
      <c r="A12" s="44">
        <v>16</v>
      </c>
      <c r="B12" s="53">
        <v>3428</v>
      </c>
      <c r="C12" s="69" t="s">
        <v>844</v>
      </c>
      <c r="D12" s="67"/>
      <c r="E12" s="83"/>
      <c r="F12" s="245"/>
      <c r="G12" s="246"/>
      <c r="H12" s="67"/>
      <c r="I12" s="63"/>
      <c r="J12" s="54"/>
      <c r="K12" s="49"/>
      <c r="L12" s="50"/>
      <c r="M12" s="55" t="s">
        <v>396</v>
      </c>
      <c r="N12" s="56" t="s">
        <v>397</v>
      </c>
      <c r="O12" s="57">
        <v>1</v>
      </c>
      <c r="P12" s="47"/>
      <c r="R12" s="63"/>
      <c r="S12" s="47"/>
      <c r="U12" s="63"/>
      <c r="V12" s="47"/>
      <c r="X12" s="58">
        <f>ROUND((_11_A通院１０．５*_11・２人),0)+ROUND((ROUND((_11_B通院１０．５＿１．０*_11・２人),0)*(1+_11・B夜間)),0)</f>
        <v>670</v>
      </c>
      <c r="Y12" s="59"/>
    </row>
    <row r="13" spans="1:25" ht="16.5" customHeight="1" x14ac:dyDescent="0.2">
      <c r="A13" s="44">
        <v>16</v>
      </c>
      <c r="B13" s="53">
        <v>3429</v>
      </c>
      <c r="C13" s="69" t="s">
        <v>845</v>
      </c>
      <c r="D13" s="67"/>
      <c r="E13" s="83"/>
      <c r="F13" s="245"/>
      <c r="G13" s="246"/>
      <c r="H13" s="67"/>
      <c r="I13" s="63"/>
      <c r="J13" s="241" t="s">
        <v>398</v>
      </c>
      <c r="K13" s="60" t="s">
        <v>397</v>
      </c>
      <c r="L13" s="61">
        <v>0.7</v>
      </c>
      <c r="M13" s="55"/>
      <c r="N13" s="56"/>
      <c r="O13" s="57"/>
      <c r="P13" s="47"/>
      <c r="R13" s="63"/>
      <c r="S13" s="47"/>
      <c r="U13" s="63"/>
      <c r="V13" s="47"/>
      <c r="X13" s="58">
        <f>ROUND((_11_A通院１０．５*_11・基礎１),0)+ROUND((ROUND((_11_B通院１０．５＿１．０*_11・基礎１),0)*(1+_11・B夜間)),0)</f>
        <v>469</v>
      </c>
      <c r="Y13" s="59"/>
    </row>
    <row r="14" spans="1:25" ht="16.5" customHeight="1" x14ac:dyDescent="0.2">
      <c r="A14" s="44">
        <v>16</v>
      </c>
      <c r="B14" s="53">
        <v>3430</v>
      </c>
      <c r="C14" s="69" t="s">
        <v>846</v>
      </c>
      <c r="D14" s="67"/>
      <c r="E14" s="83"/>
      <c r="F14" s="84">
        <f>_11_B通院１０．５＿１．０</f>
        <v>331</v>
      </c>
      <c r="G14" s="25" t="s">
        <v>394</v>
      </c>
      <c r="H14" s="67"/>
      <c r="I14" s="63"/>
      <c r="J14" s="242"/>
      <c r="K14" s="49"/>
      <c r="L14" s="50"/>
      <c r="M14" s="55" t="s">
        <v>396</v>
      </c>
      <c r="N14" s="56" t="s">
        <v>397</v>
      </c>
      <c r="O14" s="57">
        <v>1</v>
      </c>
      <c r="P14" s="47"/>
      <c r="R14" s="63"/>
      <c r="S14" s="47"/>
      <c r="U14" s="63"/>
      <c r="V14" s="54"/>
      <c r="W14" s="49"/>
      <c r="X14" s="58">
        <f>ROUND((ROUND((_11_A通院１０．５*_11・基礎１),0)*_11・２人),0)+ROUND((ROUND((ROUND((_11_B通院１０．５＿１．０*_11・基礎１),0)*_11・２人),0)*(1+_11・B夜間)),0)</f>
        <v>469</v>
      </c>
      <c r="Y14" s="59"/>
    </row>
    <row r="15" spans="1:25" ht="16.5" customHeight="1" x14ac:dyDescent="0.2">
      <c r="A15" s="44">
        <v>16</v>
      </c>
      <c r="B15" s="53">
        <v>3431</v>
      </c>
      <c r="C15" s="69" t="s">
        <v>847</v>
      </c>
      <c r="D15" s="67"/>
      <c r="E15" s="83"/>
      <c r="F15" s="243" t="s">
        <v>1982</v>
      </c>
      <c r="G15" s="244"/>
      <c r="H15" s="67"/>
      <c r="I15" s="63"/>
      <c r="J15" s="62"/>
      <c r="K15" s="60"/>
      <c r="L15" s="61"/>
      <c r="M15" s="55"/>
      <c r="N15" s="56"/>
      <c r="O15" s="57"/>
      <c r="P15" s="47"/>
      <c r="R15" s="63"/>
      <c r="S15" s="47"/>
      <c r="U15" s="63"/>
      <c r="V15" s="62"/>
      <c r="W15" s="60"/>
      <c r="X15" s="58">
        <f>_11_A通院１０．５+ROUND((_11_B通院１０．５＿１．５*(1+_11・B夜間)),0)</f>
        <v>772</v>
      </c>
      <c r="Y15" s="59"/>
    </row>
    <row r="16" spans="1:25" ht="16.5" customHeight="1" x14ac:dyDescent="0.2">
      <c r="A16" s="44">
        <v>16</v>
      </c>
      <c r="B16" s="53">
        <v>3432</v>
      </c>
      <c r="C16" s="69" t="s">
        <v>848</v>
      </c>
      <c r="D16" s="67"/>
      <c r="E16" s="83"/>
      <c r="F16" s="245"/>
      <c r="G16" s="246"/>
      <c r="H16" s="67"/>
      <c r="I16" s="63"/>
      <c r="J16" s="54"/>
      <c r="K16" s="49"/>
      <c r="L16" s="50"/>
      <c r="M16" s="55" t="s">
        <v>396</v>
      </c>
      <c r="N16" s="56" t="s">
        <v>397</v>
      </c>
      <c r="O16" s="57">
        <v>1</v>
      </c>
      <c r="P16" s="47"/>
      <c r="R16" s="63"/>
      <c r="S16" s="47"/>
      <c r="U16" s="63"/>
      <c r="V16" s="47"/>
      <c r="X16" s="58">
        <f>ROUND((_11_A通院１０．５*_11・２人),0)+ROUND((ROUND((_11_B通院１０．５＿１．５*_11・２人),0)*(1+_11・B夜間)),0)</f>
        <v>772</v>
      </c>
      <c r="Y16" s="59"/>
    </row>
    <row r="17" spans="1:25" ht="16.5" customHeight="1" x14ac:dyDescent="0.2">
      <c r="A17" s="44">
        <v>16</v>
      </c>
      <c r="B17" s="53">
        <v>3433</v>
      </c>
      <c r="C17" s="69" t="s">
        <v>849</v>
      </c>
      <c r="D17" s="67"/>
      <c r="E17" s="83"/>
      <c r="F17" s="245"/>
      <c r="G17" s="246"/>
      <c r="H17" s="67"/>
      <c r="I17" s="63"/>
      <c r="J17" s="241" t="s">
        <v>398</v>
      </c>
      <c r="K17" s="60" t="s">
        <v>397</v>
      </c>
      <c r="L17" s="61">
        <v>0.7</v>
      </c>
      <c r="M17" s="55"/>
      <c r="N17" s="56"/>
      <c r="O17" s="57"/>
      <c r="P17" s="47"/>
      <c r="R17" s="63"/>
      <c r="S17" s="47"/>
      <c r="U17" s="63"/>
      <c r="V17" s="47"/>
      <c r="X17" s="58">
        <f>ROUND((_11_A通院１０．５*_11・基礎１),0)+ROUND((ROUND((_11_B通院１０．５＿１．５*_11・基礎１),0)*(1+_11・B夜間)),0)</f>
        <v>540</v>
      </c>
      <c r="Y17" s="59"/>
    </row>
    <row r="18" spans="1:25" ht="16.5" customHeight="1" x14ac:dyDescent="0.2">
      <c r="A18" s="44">
        <v>16</v>
      </c>
      <c r="B18" s="53">
        <v>3434</v>
      </c>
      <c r="C18" s="69" t="s">
        <v>850</v>
      </c>
      <c r="D18" s="67"/>
      <c r="E18" s="83"/>
      <c r="F18" s="84">
        <f>_11_B通院１０．５＿１．５</f>
        <v>413</v>
      </c>
      <c r="G18" s="25" t="s">
        <v>394</v>
      </c>
      <c r="H18" s="67"/>
      <c r="I18" s="63"/>
      <c r="J18" s="242"/>
      <c r="K18" s="49"/>
      <c r="L18" s="50"/>
      <c r="M18" s="55" t="s">
        <v>396</v>
      </c>
      <c r="N18" s="56" t="s">
        <v>397</v>
      </c>
      <c r="O18" s="57">
        <v>1</v>
      </c>
      <c r="P18" s="47"/>
      <c r="R18" s="63"/>
      <c r="S18" s="47"/>
      <c r="U18" s="63"/>
      <c r="V18" s="54"/>
      <c r="W18" s="49"/>
      <c r="X18" s="58">
        <f>ROUND((ROUND((_11_A通院１０．５*_11・基礎１),0)*_11・２人),0)+ROUND((ROUND((ROUND((_11_B通院１０．５＿１．５*_11・基礎１),0)*_11・２人),0)*(1+_11・B夜間)),0)</f>
        <v>540</v>
      </c>
      <c r="Y18" s="59"/>
    </row>
    <row r="19" spans="1:25" ht="16.5" customHeight="1" x14ac:dyDescent="0.2">
      <c r="A19" s="44">
        <v>16</v>
      </c>
      <c r="B19" s="53">
        <v>3435</v>
      </c>
      <c r="C19" s="69" t="s">
        <v>851</v>
      </c>
      <c r="D19" s="67"/>
      <c r="E19" s="83"/>
      <c r="F19" s="243" t="s">
        <v>1983</v>
      </c>
      <c r="G19" s="244"/>
      <c r="H19" s="67"/>
      <c r="I19" s="63"/>
      <c r="J19" s="62"/>
      <c r="K19" s="60"/>
      <c r="L19" s="61"/>
      <c r="M19" s="55"/>
      <c r="N19" s="56"/>
      <c r="O19" s="57"/>
      <c r="P19" s="47"/>
      <c r="R19" s="63"/>
      <c r="S19" s="47"/>
      <c r="U19" s="63"/>
      <c r="V19" s="62"/>
      <c r="W19" s="60"/>
      <c r="X19" s="58">
        <f>_11_A通院１０．５+ROUND((_11_B通院１０．５＿２．０*(1+_11・B夜間)),0)</f>
        <v>879</v>
      </c>
      <c r="Y19" s="59"/>
    </row>
    <row r="20" spans="1:25" ht="16.5" customHeight="1" x14ac:dyDescent="0.2">
      <c r="A20" s="44">
        <v>16</v>
      </c>
      <c r="B20" s="53">
        <v>3436</v>
      </c>
      <c r="C20" s="69" t="s">
        <v>852</v>
      </c>
      <c r="D20" s="67"/>
      <c r="E20" s="83"/>
      <c r="F20" s="245"/>
      <c r="G20" s="246"/>
      <c r="H20" s="67"/>
      <c r="I20" s="63"/>
      <c r="J20" s="54"/>
      <c r="K20" s="49"/>
      <c r="L20" s="50"/>
      <c r="M20" s="55" t="s">
        <v>396</v>
      </c>
      <c r="N20" s="56" t="s">
        <v>397</v>
      </c>
      <c r="O20" s="57">
        <v>1</v>
      </c>
      <c r="P20" s="47"/>
      <c r="R20" s="63"/>
      <c r="S20" s="47"/>
      <c r="U20" s="63"/>
      <c r="V20" s="47"/>
      <c r="X20" s="58">
        <f>ROUND((_11_A通院１０．５*_11・２人),0)+ROUND((ROUND((_11_B通院１０．５＿２．０*_11・２人),0)*(1+_11・B夜間)),0)</f>
        <v>879</v>
      </c>
      <c r="Y20" s="59"/>
    </row>
    <row r="21" spans="1:25" ht="16.5" customHeight="1" x14ac:dyDescent="0.2">
      <c r="A21" s="44">
        <v>16</v>
      </c>
      <c r="B21" s="53">
        <v>3437</v>
      </c>
      <c r="C21" s="69" t="s">
        <v>853</v>
      </c>
      <c r="D21" s="67"/>
      <c r="E21" s="83"/>
      <c r="F21" s="245"/>
      <c r="G21" s="246"/>
      <c r="H21" s="67"/>
      <c r="I21" s="63"/>
      <c r="J21" s="241" t="s">
        <v>398</v>
      </c>
      <c r="K21" s="60" t="s">
        <v>397</v>
      </c>
      <c r="L21" s="61">
        <v>0.7</v>
      </c>
      <c r="M21" s="55"/>
      <c r="N21" s="56"/>
      <c r="O21" s="57"/>
      <c r="P21" s="47"/>
      <c r="R21" s="63"/>
      <c r="S21" s="47"/>
      <c r="U21" s="63"/>
      <c r="V21" s="47"/>
      <c r="X21" s="58">
        <f>ROUND((_11_A通院１０．５*_11・基礎１),0)+ROUND((ROUND((_11_B通院１０．５＿２．０*_11・基礎１),0)*(1+_11・B夜間)),0)</f>
        <v>615</v>
      </c>
      <c r="Y21" s="59"/>
    </row>
    <row r="22" spans="1:25" ht="16.5" customHeight="1" x14ac:dyDescent="0.2">
      <c r="A22" s="44">
        <v>16</v>
      </c>
      <c r="B22" s="53">
        <v>3438</v>
      </c>
      <c r="C22" s="69" t="s">
        <v>854</v>
      </c>
      <c r="D22" s="67"/>
      <c r="E22" s="83"/>
      <c r="F22" s="84">
        <f>_11_B通院１０．５＿２．０</f>
        <v>498</v>
      </c>
      <c r="G22" s="25" t="s">
        <v>394</v>
      </c>
      <c r="H22" s="67"/>
      <c r="I22" s="63"/>
      <c r="J22" s="242"/>
      <c r="K22" s="49"/>
      <c r="L22" s="50"/>
      <c r="M22" s="55" t="s">
        <v>396</v>
      </c>
      <c r="N22" s="56" t="s">
        <v>397</v>
      </c>
      <c r="O22" s="57">
        <v>1</v>
      </c>
      <c r="P22" s="47"/>
      <c r="R22" s="63"/>
      <c r="S22" s="47"/>
      <c r="U22" s="63"/>
      <c r="V22" s="54"/>
      <c r="W22" s="49"/>
      <c r="X22" s="58">
        <f>ROUND((ROUND((_11_A通院１０．５*_11・基礎１),0)*_11・２人),0)+ROUND((ROUND((ROUND((_11_B通院１０．５＿２．０*_11・基礎１),0)*_11・２人),0)*(1+_11・B夜間)),0)</f>
        <v>615</v>
      </c>
      <c r="Y22" s="59"/>
    </row>
    <row r="23" spans="1:25" ht="16.5" customHeight="1" x14ac:dyDescent="0.2">
      <c r="A23" s="44">
        <v>16</v>
      </c>
      <c r="B23" s="53">
        <v>3439</v>
      </c>
      <c r="C23" s="69" t="s">
        <v>855</v>
      </c>
      <c r="D23" s="103"/>
      <c r="E23" s="86"/>
      <c r="F23" s="243" t="s">
        <v>1984</v>
      </c>
      <c r="G23" s="244"/>
      <c r="H23" s="67"/>
      <c r="I23" s="63"/>
      <c r="J23" s="62"/>
      <c r="K23" s="60"/>
      <c r="L23" s="61"/>
      <c r="M23" s="55"/>
      <c r="N23" s="56"/>
      <c r="O23" s="57"/>
      <c r="P23" s="47"/>
      <c r="R23" s="63"/>
      <c r="S23" s="47"/>
      <c r="U23" s="63"/>
      <c r="V23" s="62"/>
      <c r="W23" s="60"/>
      <c r="X23" s="58">
        <f>_11_A通院１０．５+ROUND((_11_B通院１０．５＿２．５*(1+_11・B夜間)),0)</f>
        <v>982</v>
      </c>
      <c r="Y23" s="59"/>
    </row>
    <row r="24" spans="1:25" ht="16.5" customHeight="1" x14ac:dyDescent="0.2">
      <c r="A24" s="44">
        <v>16</v>
      </c>
      <c r="B24" s="53">
        <v>3440</v>
      </c>
      <c r="C24" s="69" t="s">
        <v>856</v>
      </c>
      <c r="D24" s="103"/>
      <c r="E24" s="86"/>
      <c r="F24" s="245"/>
      <c r="G24" s="246"/>
      <c r="H24" s="67"/>
      <c r="I24" s="63"/>
      <c r="J24" s="54"/>
      <c r="K24" s="49"/>
      <c r="L24" s="50"/>
      <c r="M24" s="55" t="s">
        <v>396</v>
      </c>
      <c r="N24" s="56" t="s">
        <v>397</v>
      </c>
      <c r="O24" s="57">
        <v>1</v>
      </c>
      <c r="P24" s="47"/>
      <c r="R24" s="63"/>
      <c r="S24" s="47"/>
      <c r="U24" s="63"/>
      <c r="V24" s="47"/>
      <c r="X24" s="58">
        <f>ROUND((_11_A通院１０．５*_11・２人),0)+ROUND((ROUND((_11_B通院１０．５＿２．５*_11・２人),0)*(1+_11・B夜間)),0)</f>
        <v>982</v>
      </c>
      <c r="Y24" s="59"/>
    </row>
    <row r="25" spans="1:25" ht="16.5" customHeight="1" x14ac:dyDescent="0.2">
      <c r="A25" s="44">
        <v>16</v>
      </c>
      <c r="B25" s="53">
        <v>3441</v>
      </c>
      <c r="C25" s="69" t="s">
        <v>857</v>
      </c>
      <c r="D25" s="103"/>
      <c r="E25" s="86"/>
      <c r="F25" s="245"/>
      <c r="G25" s="246"/>
      <c r="H25" s="67"/>
      <c r="I25" s="63"/>
      <c r="J25" s="241" t="s">
        <v>398</v>
      </c>
      <c r="K25" s="60" t="s">
        <v>397</v>
      </c>
      <c r="L25" s="61">
        <v>0.7</v>
      </c>
      <c r="M25" s="55"/>
      <c r="N25" s="56"/>
      <c r="O25" s="57"/>
      <c r="P25" s="47"/>
      <c r="R25" s="63"/>
      <c r="S25" s="47"/>
      <c r="U25" s="63"/>
      <c r="V25" s="47"/>
      <c r="X25" s="58">
        <f>ROUND((_11_A通院１０．５*_11・基礎１),0)+ROUND((ROUND((_11_B通院１０．５＿２．５*_11・基礎１),0)*(1+_11・B夜間)),0)</f>
        <v>688</v>
      </c>
      <c r="Y25" s="59"/>
    </row>
    <row r="26" spans="1:25" ht="16.5" customHeight="1" x14ac:dyDescent="0.2">
      <c r="A26" s="44">
        <v>16</v>
      </c>
      <c r="B26" s="53">
        <v>3442</v>
      </c>
      <c r="C26" s="69" t="s">
        <v>858</v>
      </c>
      <c r="D26" s="106"/>
      <c r="E26" s="63"/>
      <c r="F26" s="84">
        <f>_11_B通院１０．５＿２．５</f>
        <v>581</v>
      </c>
      <c r="G26" s="25" t="s">
        <v>394</v>
      </c>
      <c r="H26" s="67"/>
      <c r="I26" s="63"/>
      <c r="J26" s="242"/>
      <c r="K26" s="49"/>
      <c r="L26" s="50"/>
      <c r="M26" s="55" t="s">
        <v>396</v>
      </c>
      <c r="N26" s="56" t="s">
        <v>397</v>
      </c>
      <c r="O26" s="57">
        <v>1</v>
      </c>
      <c r="P26" s="47"/>
      <c r="R26" s="63"/>
      <c r="S26" s="47"/>
      <c r="U26" s="63"/>
      <c r="V26" s="54"/>
      <c r="W26" s="49"/>
      <c r="X26" s="58">
        <f>ROUND((ROUND((_11_A通院１０．５*_11・基礎１),0)*_11・２人),0)+ROUND((ROUND((ROUND((_11_B通院１０．５＿２．５*_11・基礎１),0)*_11・２人),0)*(1+_11・B夜間)),0)</f>
        <v>688</v>
      </c>
      <c r="Y26" s="59"/>
    </row>
    <row r="27" spans="1:25" ht="16.5" customHeight="1" x14ac:dyDescent="0.2">
      <c r="A27" s="44">
        <v>16</v>
      </c>
      <c r="B27" s="53">
        <v>3443</v>
      </c>
      <c r="C27" s="69" t="s">
        <v>859</v>
      </c>
      <c r="D27" s="243" t="s">
        <v>1922</v>
      </c>
      <c r="E27" s="244"/>
      <c r="F27" s="243" t="s">
        <v>1980</v>
      </c>
      <c r="G27" s="244"/>
      <c r="H27" s="67"/>
      <c r="I27" s="63"/>
      <c r="J27" s="62"/>
      <c r="K27" s="60"/>
      <c r="L27" s="61"/>
      <c r="M27" s="55"/>
      <c r="N27" s="56"/>
      <c r="O27" s="57"/>
      <c r="P27" s="47"/>
      <c r="R27" s="63"/>
      <c r="S27" s="47"/>
      <c r="U27" s="63"/>
      <c r="V27" s="62"/>
      <c r="W27" s="60"/>
      <c r="X27" s="58">
        <f>_11_A通院１１．０+ROUND((_11_B通院１１．０＿０．５*(1+_11・B夜間)),0)</f>
        <v>633</v>
      </c>
      <c r="Y27" s="59"/>
    </row>
    <row r="28" spans="1:25" ht="16.5" customHeight="1" x14ac:dyDescent="0.2">
      <c r="A28" s="44">
        <v>16</v>
      </c>
      <c r="B28" s="53">
        <v>3444</v>
      </c>
      <c r="C28" s="69" t="s">
        <v>860</v>
      </c>
      <c r="D28" s="245"/>
      <c r="E28" s="246"/>
      <c r="F28" s="245"/>
      <c r="G28" s="246"/>
      <c r="H28" s="67"/>
      <c r="I28" s="63"/>
      <c r="J28" s="54"/>
      <c r="K28" s="49"/>
      <c r="L28" s="50"/>
      <c r="M28" s="55" t="s">
        <v>396</v>
      </c>
      <c r="N28" s="56" t="s">
        <v>397</v>
      </c>
      <c r="O28" s="57">
        <v>1</v>
      </c>
      <c r="P28" s="47"/>
      <c r="R28" s="63"/>
      <c r="S28" s="47"/>
      <c r="U28" s="63"/>
      <c r="V28" s="47"/>
      <c r="X28" s="58">
        <f>ROUND((_11_A通院１１．０*_11・２人),0)+ROUND((ROUND((_11_B通院１１．０＿０．５*_11・２人),0)*(1+_11・B夜間)),0)</f>
        <v>633</v>
      </c>
      <c r="Y28" s="59"/>
    </row>
    <row r="29" spans="1:25" ht="16.5" customHeight="1" x14ac:dyDescent="0.2">
      <c r="A29" s="44">
        <v>16</v>
      </c>
      <c r="B29" s="53">
        <v>3445</v>
      </c>
      <c r="C29" s="69" t="s">
        <v>861</v>
      </c>
      <c r="D29" s="245"/>
      <c r="E29" s="246"/>
      <c r="F29" s="245"/>
      <c r="G29" s="246"/>
      <c r="H29" s="67"/>
      <c r="I29" s="63"/>
      <c r="J29" s="241" t="s">
        <v>398</v>
      </c>
      <c r="K29" s="60" t="s">
        <v>397</v>
      </c>
      <c r="L29" s="61">
        <v>0.7</v>
      </c>
      <c r="M29" s="55"/>
      <c r="N29" s="56"/>
      <c r="O29" s="57"/>
      <c r="P29" s="47"/>
      <c r="R29" s="63"/>
      <c r="S29" s="47"/>
      <c r="U29" s="63"/>
      <c r="V29" s="47"/>
      <c r="X29" s="58">
        <f>ROUND((_11_A通院１１．０*_11・基礎１),0)+ROUND((ROUND((_11_B通院１１．０＿０．５*_11・基礎１),0)*(1+_11・B夜間)),0)</f>
        <v>443</v>
      </c>
      <c r="Y29" s="59"/>
    </row>
    <row r="30" spans="1:25" ht="16.5" customHeight="1" x14ac:dyDescent="0.2">
      <c r="A30" s="44">
        <v>16</v>
      </c>
      <c r="B30" s="53">
        <v>3446</v>
      </c>
      <c r="C30" s="69" t="s">
        <v>862</v>
      </c>
      <c r="D30" s="84">
        <f>_11_A通院１１．０</f>
        <v>404</v>
      </c>
      <c r="E30" s="25" t="s">
        <v>394</v>
      </c>
      <c r="F30" s="84">
        <f>_11_B通院１１．０＿０．５</f>
        <v>183</v>
      </c>
      <c r="G30" s="25" t="s">
        <v>394</v>
      </c>
      <c r="H30" s="67"/>
      <c r="I30" s="63"/>
      <c r="J30" s="242"/>
      <c r="K30" s="49"/>
      <c r="L30" s="50"/>
      <c r="M30" s="55" t="s">
        <v>396</v>
      </c>
      <c r="N30" s="56" t="s">
        <v>397</v>
      </c>
      <c r="O30" s="57">
        <v>1</v>
      </c>
      <c r="P30" s="47"/>
      <c r="R30" s="63"/>
      <c r="S30" s="47"/>
      <c r="U30" s="63"/>
      <c r="V30" s="54"/>
      <c r="W30" s="49"/>
      <c r="X30" s="58">
        <f>ROUND((ROUND((_11_A通院１１．０*_11・基礎１),0)*_11・２人),0)+ROUND((ROUND((ROUND((_11_B通院１１．０＿０．５*_11・基礎１),0)*_11・２人),0)*(1+_11・B夜間)),0)</f>
        <v>443</v>
      </c>
      <c r="Y30" s="59"/>
    </row>
    <row r="31" spans="1:25" ht="16.5" customHeight="1" x14ac:dyDescent="0.2">
      <c r="A31" s="44">
        <v>16</v>
      </c>
      <c r="B31" s="53">
        <v>3447</v>
      </c>
      <c r="C31" s="69" t="s">
        <v>863</v>
      </c>
      <c r="D31" s="67"/>
      <c r="E31" s="83"/>
      <c r="F31" s="243" t="s">
        <v>1981</v>
      </c>
      <c r="G31" s="244"/>
      <c r="H31" s="67"/>
      <c r="I31" s="63"/>
      <c r="J31" s="62"/>
      <c r="K31" s="60"/>
      <c r="L31" s="61"/>
      <c r="M31" s="55"/>
      <c r="N31" s="56"/>
      <c r="O31" s="57"/>
      <c r="P31" s="47"/>
      <c r="R31" s="63"/>
      <c r="S31" s="47"/>
      <c r="U31" s="63"/>
      <c r="V31" s="62"/>
      <c r="W31" s="60"/>
      <c r="X31" s="58">
        <f>_11_A通院１１．０+ROUND((_11_B通院１１．０＿１．０*(1+_11・B夜間)),0)</f>
        <v>735</v>
      </c>
      <c r="Y31" s="59"/>
    </row>
    <row r="32" spans="1:25" ht="16.5" customHeight="1" x14ac:dyDescent="0.2">
      <c r="A32" s="44">
        <v>16</v>
      </c>
      <c r="B32" s="53">
        <v>3448</v>
      </c>
      <c r="C32" s="69" t="s">
        <v>864</v>
      </c>
      <c r="D32" s="67"/>
      <c r="E32" s="83"/>
      <c r="F32" s="245"/>
      <c r="G32" s="246"/>
      <c r="H32" s="67"/>
      <c r="I32" s="63"/>
      <c r="J32" s="54"/>
      <c r="K32" s="49"/>
      <c r="L32" s="50"/>
      <c r="M32" s="55" t="s">
        <v>396</v>
      </c>
      <c r="N32" s="56" t="s">
        <v>397</v>
      </c>
      <c r="O32" s="57">
        <v>1</v>
      </c>
      <c r="P32" s="47"/>
      <c r="R32" s="63"/>
      <c r="S32" s="47"/>
      <c r="U32" s="63"/>
      <c r="V32" s="47"/>
      <c r="X32" s="58">
        <f>ROUND((_11_A通院１１．０*_11・２人),0)+ROUND((ROUND((_11_B通院１１．０＿１．０*_11・２人),0)*(1+_11・B夜間)),0)</f>
        <v>735</v>
      </c>
      <c r="Y32" s="59"/>
    </row>
    <row r="33" spans="1:25" ht="16.5" customHeight="1" x14ac:dyDescent="0.2">
      <c r="A33" s="44">
        <v>16</v>
      </c>
      <c r="B33" s="53">
        <v>3449</v>
      </c>
      <c r="C33" s="69" t="s">
        <v>865</v>
      </c>
      <c r="D33" s="67"/>
      <c r="E33" s="83"/>
      <c r="F33" s="245"/>
      <c r="G33" s="246"/>
      <c r="H33" s="67"/>
      <c r="I33" s="63"/>
      <c r="J33" s="241" t="s">
        <v>398</v>
      </c>
      <c r="K33" s="60" t="s">
        <v>397</v>
      </c>
      <c r="L33" s="61">
        <v>0.7</v>
      </c>
      <c r="M33" s="55"/>
      <c r="N33" s="56"/>
      <c r="O33" s="57"/>
      <c r="P33" s="47"/>
      <c r="R33" s="63"/>
      <c r="S33" s="47"/>
      <c r="U33" s="63"/>
      <c r="V33" s="47"/>
      <c r="X33" s="58">
        <f>ROUND((_11_A通院１１．０*_11・基礎１),0)+ROUND((ROUND((_11_B通院１１．０＿１．０*_11・基礎１),0)*(1+_11・B夜間)),0)</f>
        <v>516</v>
      </c>
      <c r="Y33" s="59"/>
    </row>
    <row r="34" spans="1:25" ht="16.5" customHeight="1" x14ac:dyDescent="0.2">
      <c r="A34" s="44">
        <v>16</v>
      </c>
      <c r="B34" s="53">
        <v>3450</v>
      </c>
      <c r="C34" s="69" t="s">
        <v>866</v>
      </c>
      <c r="D34" s="67"/>
      <c r="E34" s="83"/>
      <c r="F34" s="84">
        <f>_11_B通院１１．０＿１．０</f>
        <v>265</v>
      </c>
      <c r="G34" s="25" t="s">
        <v>394</v>
      </c>
      <c r="H34" s="67"/>
      <c r="I34" s="63"/>
      <c r="J34" s="242"/>
      <c r="K34" s="49"/>
      <c r="L34" s="50"/>
      <c r="M34" s="55" t="s">
        <v>396</v>
      </c>
      <c r="N34" s="56" t="s">
        <v>397</v>
      </c>
      <c r="O34" s="57">
        <v>1</v>
      </c>
      <c r="P34" s="47"/>
      <c r="R34" s="63"/>
      <c r="S34" s="47"/>
      <c r="U34" s="63"/>
      <c r="V34" s="54"/>
      <c r="W34" s="49"/>
      <c r="X34" s="58">
        <f>ROUND((ROUND((_11_A通院１１．０*_11・基礎１),0)*_11・２人),0)+ROUND((ROUND((ROUND((_11_B通院１１．０＿１．０*_11・基礎１),0)*_11・２人),0)*(1+_11・B夜間)),0)</f>
        <v>516</v>
      </c>
      <c r="Y34" s="59"/>
    </row>
    <row r="35" spans="1:25" ht="16.5" customHeight="1" x14ac:dyDescent="0.2">
      <c r="A35" s="44">
        <v>16</v>
      </c>
      <c r="B35" s="53">
        <v>3451</v>
      </c>
      <c r="C35" s="69" t="s">
        <v>867</v>
      </c>
      <c r="D35" s="67"/>
      <c r="E35" s="83"/>
      <c r="F35" s="243" t="s">
        <v>1982</v>
      </c>
      <c r="G35" s="244"/>
      <c r="H35" s="67"/>
      <c r="I35" s="63"/>
      <c r="J35" s="62"/>
      <c r="K35" s="60"/>
      <c r="L35" s="61"/>
      <c r="M35" s="55"/>
      <c r="N35" s="56"/>
      <c r="O35" s="57"/>
      <c r="P35" s="47"/>
      <c r="R35" s="63"/>
      <c r="S35" s="47"/>
      <c r="U35" s="63"/>
      <c r="V35" s="62"/>
      <c r="W35" s="60"/>
      <c r="X35" s="58">
        <f>_11_A通院１１．０+ROUND((_11_B通院１１．０＿１．５*(1+_11・B夜間)),0)</f>
        <v>842</v>
      </c>
      <c r="Y35" s="59"/>
    </row>
    <row r="36" spans="1:25" ht="16.5" customHeight="1" x14ac:dyDescent="0.2">
      <c r="A36" s="44">
        <v>16</v>
      </c>
      <c r="B36" s="53">
        <v>3452</v>
      </c>
      <c r="C36" s="69" t="s">
        <v>868</v>
      </c>
      <c r="D36" s="67"/>
      <c r="E36" s="83"/>
      <c r="F36" s="245"/>
      <c r="G36" s="246"/>
      <c r="H36" s="67"/>
      <c r="I36" s="63"/>
      <c r="J36" s="54"/>
      <c r="K36" s="49"/>
      <c r="L36" s="50"/>
      <c r="M36" s="55" t="s">
        <v>396</v>
      </c>
      <c r="N36" s="56" t="s">
        <v>397</v>
      </c>
      <c r="O36" s="57">
        <v>1</v>
      </c>
      <c r="P36" s="47"/>
      <c r="R36" s="63"/>
      <c r="S36" s="47"/>
      <c r="U36" s="63"/>
      <c r="V36" s="47"/>
      <c r="X36" s="58">
        <f>ROUND((_11_A通院１１．０*_11・２人),0)+ROUND((ROUND((_11_B通院１１．０＿１．５*_11・２人),0)*(1+_11・B夜間)),0)</f>
        <v>842</v>
      </c>
      <c r="Y36" s="59"/>
    </row>
    <row r="37" spans="1:25" ht="16.5" customHeight="1" x14ac:dyDescent="0.2">
      <c r="A37" s="44">
        <v>16</v>
      </c>
      <c r="B37" s="53">
        <v>3453</v>
      </c>
      <c r="C37" s="69" t="s">
        <v>869</v>
      </c>
      <c r="D37" s="67"/>
      <c r="E37" s="83"/>
      <c r="F37" s="245"/>
      <c r="G37" s="246"/>
      <c r="H37" s="67"/>
      <c r="I37" s="63"/>
      <c r="J37" s="241" t="s">
        <v>398</v>
      </c>
      <c r="K37" s="60" t="s">
        <v>397</v>
      </c>
      <c r="L37" s="61">
        <v>0.7</v>
      </c>
      <c r="M37" s="55"/>
      <c r="N37" s="56"/>
      <c r="O37" s="57"/>
      <c r="P37" s="47"/>
      <c r="R37" s="63"/>
      <c r="S37" s="47"/>
      <c r="U37" s="63"/>
      <c r="V37" s="47"/>
      <c r="X37" s="58">
        <f>ROUND((_11_A通院１１．０*_11・基礎１),0)+ROUND((ROUND((_11_B通院１１．０＿１．５*_11・基礎１),0)*(1+_11・B夜間)),0)</f>
        <v>589</v>
      </c>
      <c r="Y37" s="59"/>
    </row>
    <row r="38" spans="1:25" ht="16.5" customHeight="1" x14ac:dyDescent="0.2">
      <c r="A38" s="44">
        <v>16</v>
      </c>
      <c r="B38" s="53">
        <v>3454</v>
      </c>
      <c r="C38" s="69" t="s">
        <v>870</v>
      </c>
      <c r="D38" s="67"/>
      <c r="E38" s="83"/>
      <c r="F38" s="84">
        <f>_11_B通院１１．０＿１．５</f>
        <v>350</v>
      </c>
      <c r="G38" s="25" t="s">
        <v>394</v>
      </c>
      <c r="H38" s="67"/>
      <c r="I38" s="63"/>
      <c r="J38" s="242"/>
      <c r="K38" s="49"/>
      <c r="L38" s="50"/>
      <c r="M38" s="55" t="s">
        <v>396</v>
      </c>
      <c r="N38" s="56" t="s">
        <v>397</v>
      </c>
      <c r="O38" s="57">
        <v>1</v>
      </c>
      <c r="P38" s="47"/>
      <c r="R38" s="63"/>
      <c r="S38" s="47"/>
      <c r="U38" s="63"/>
      <c r="V38" s="54"/>
      <c r="W38" s="49"/>
      <c r="X38" s="58">
        <f>ROUND((ROUND((_11_A通院１１．０*_11・基礎１),0)*_11・２人),0)+ROUND((ROUND((ROUND((_11_B通院１１．０＿１．５*_11・基礎１),0)*_11・２人),0)*(1+_11・B夜間)),0)</f>
        <v>589</v>
      </c>
      <c r="Y38" s="59"/>
    </row>
    <row r="39" spans="1:25" ht="16.5" customHeight="1" x14ac:dyDescent="0.2">
      <c r="A39" s="44">
        <v>16</v>
      </c>
      <c r="B39" s="53">
        <v>3455</v>
      </c>
      <c r="C39" s="69" t="s">
        <v>871</v>
      </c>
      <c r="D39" s="103"/>
      <c r="E39" s="86"/>
      <c r="F39" s="243" t="s">
        <v>1983</v>
      </c>
      <c r="G39" s="244"/>
      <c r="H39" s="67"/>
      <c r="I39" s="63"/>
      <c r="J39" s="62"/>
      <c r="K39" s="60"/>
      <c r="L39" s="61"/>
      <c r="M39" s="55"/>
      <c r="N39" s="56"/>
      <c r="O39" s="57"/>
      <c r="P39" s="47"/>
      <c r="R39" s="63"/>
      <c r="S39" s="47"/>
      <c r="U39" s="63"/>
      <c r="V39" s="62"/>
      <c r="W39" s="60"/>
      <c r="X39" s="58">
        <f>_11_A通院１１．０+ROUND((_11_B通院１１．０＿２．０*(1+_11・B夜間)),0)</f>
        <v>945</v>
      </c>
      <c r="Y39" s="59"/>
    </row>
    <row r="40" spans="1:25" ht="16.5" customHeight="1" x14ac:dyDescent="0.2">
      <c r="A40" s="44">
        <v>16</v>
      </c>
      <c r="B40" s="53">
        <v>3456</v>
      </c>
      <c r="C40" s="69" t="s">
        <v>872</v>
      </c>
      <c r="D40" s="103"/>
      <c r="E40" s="86"/>
      <c r="F40" s="245"/>
      <c r="G40" s="246"/>
      <c r="H40" s="67"/>
      <c r="I40" s="63"/>
      <c r="J40" s="54"/>
      <c r="K40" s="49"/>
      <c r="L40" s="50"/>
      <c r="M40" s="55" t="s">
        <v>396</v>
      </c>
      <c r="N40" s="56" t="s">
        <v>397</v>
      </c>
      <c r="O40" s="57">
        <v>1</v>
      </c>
      <c r="P40" s="47"/>
      <c r="R40" s="63"/>
      <c r="S40" s="47"/>
      <c r="U40" s="63"/>
      <c r="V40" s="47"/>
      <c r="X40" s="58">
        <f>ROUND((_11_A通院１１．０*_11・２人),0)+ROUND((ROUND((_11_B通院１１．０＿２．０*_11・２人),0)*(1+_11・B夜間)),0)</f>
        <v>945</v>
      </c>
      <c r="Y40" s="59"/>
    </row>
    <row r="41" spans="1:25" ht="16.5" customHeight="1" x14ac:dyDescent="0.2">
      <c r="A41" s="44">
        <v>16</v>
      </c>
      <c r="B41" s="53">
        <v>3457</v>
      </c>
      <c r="C41" s="69" t="s">
        <v>873</v>
      </c>
      <c r="D41" s="103"/>
      <c r="E41" s="86"/>
      <c r="F41" s="245"/>
      <c r="G41" s="246"/>
      <c r="H41" s="67"/>
      <c r="I41" s="63"/>
      <c r="J41" s="241" t="s">
        <v>398</v>
      </c>
      <c r="K41" s="60" t="s">
        <v>397</v>
      </c>
      <c r="L41" s="61">
        <v>0.7</v>
      </c>
      <c r="M41" s="55"/>
      <c r="N41" s="56"/>
      <c r="O41" s="57"/>
      <c r="P41" s="47"/>
      <c r="R41" s="63"/>
      <c r="S41" s="47"/>
      <c r="U41" s="63"/>
      <c r="V41" s="47"/>
      <c r="X41" s="58">
        <f>ROUND((_11_A通院１１．０*_11・基礎１),0)+ROUND((ROUND((_11_B通院１１．０＿２．０*_11・基礎１),0)*(1+_11・B夜間)),0)</f>
        <v>662</v>
      </c>
      <c r="Y41" s="59"/>
    </row>
    <row r="42" spans="1:25" ht="16.5" customHeight="1" x14ac:dyDescent="0.2">
      <c r="A42" s="44">
        <v>16</v>
      </c>
      <c r="B42" s="53">
        <v>3458</v>
      </c>
      <c r="C42" s="69" t="s">
        <v>874</v>
      </c>
      <c r="D42" s="106"/>
      <c r="E42" s="63"/>
      <c r="F42" s="84">
        <f>_11_B通院１１．０＿２．０</f>
        <v>433</v>
      </c>
      <c r="G42" s="25" t="s">
        <v>394</v>
      </c>
      <c r="H42" s="67"/>
      <c r="I42" s="63"/>
      <c r="J42" s="242"/>
      <c r="K42" s="49"/>
      <c r="L42" s="50"/>
      <c r="M42" s="55" t="s">
        <v>396</v>
      </c>
      <c r="N42" s="56" t="s">
        <v>397</v>
      </c>
      <c r="O42" s="57">
        <v>1</v>
      </c>
      <c r="P42" s="47"/>
      <c r="R42" s="63"/>
      <c r="S42" s="47"/>
      <c r="U42" s="63"/>
      <c r="V42" s="54"/>
      <c r="W42" s="49"/>
      <c r="X42" s="58">
        <f>ROUND((ROUND((_11_A通院１１．０*_11・基礎１),0)*_11・２人),0)+ROUND((ROUND((ROUND((_11_B通院１１．０＿２．０*_11・基礎１),0)*_11・２人),0)*(1+_11・B夜間)),0)</f>
        <v>662</v>
      </c>
      <c r="Y42" s="59"/>
    </row>
    <row r="43" spans="1:25" ht="16.5" customHeight="1" x14ac:dyDescent="0.2">
      <c r="A43" s="44">
        <v>16</v>
      </c>
      <c r="B43" s="53">
        <v>3459</v>
      </c>
      <c r="C43" s="69" t="s">
        <v>875</v>
      </c>
      <c r="D43" s="243" t="s">
        <v>1924</v>
      </c>
      <c r="E43" s="244"/>
      <c r="F43" s="243" t="s">
        <v>1980</v>
      </c>
      <c r="G43" s="244"/>
      <c r="H43" s="67"/>
      <c r="I43" s="63"/>
      <c r="J43" s="62"/>
      <c r="K43" s="60"/>
      <c r="L43" s="61"/>
      <c r="M43" s="55"/>
      <c r="N43" s="56"/>
      <c r="O43" s="57"/>
      <c r="P43" s="47"/>
      <c r="R43" s="63"/>
      <c r="S43" s="47"/>
      <c r="U43" s="63"/>
      <c r="V43" s="62"/>
      <c r="W43" s="60"/>
      <c r="X43" s="58">
        <f>_11_A通院１１．５+ROUND((_11_B通院１１．５＿０．５*(1+_11・B夜間)),0)</f>
        <v>690</v>
      </c>
      <c r="Y43" s="59"/>
    </row>
    <row r="44" spans="1:25" ht="16.5" customHeight="1" x14ac:dyDescent="0.2">
      <c r="A44" s="44">
        <v>16</v>
      </c>
      <c r="B44" s="53">
        <v>3460</v>
      </c>
      <c r="C44" s="69" t="s">
        <v>876</v>
      </c>
      <c r="D44" s="245"/>
      <c r="E44" s="246"/>
      <c r="F44" s="245"/>
      <c r="G44" s="246"/>
      <c r="H44" s="67"/>
      <c r="I44" s="63"/>
      <c r="J44" s="54"/>
      <c r="K44" s="49"/>
      <c r="L44" s="50"/>
      <c r="M44" s="55" t="s">
        <v>396</v>
      </c>
      <c r="N44" s="56" t="s">
        <v>397</v>
      </c>
      <c r="O44" s="57">
        <v>1</v>
      </c>
      <c r="P44" s="47"/>
      <c r="R44" s="63"/>
      <c r="S44" s="47"/>
      <c r="U44" s="63"/>
      <c r="V44" s="47"/>
      <c r="X44" s="58">
        <f>ROUND((_11_A通院１１．５*_11・２人),0)+ROUND((ROUND((_11_B通院１１．５＿０．５*_11・２人),0)*(1+_11・B夜間)),0)</f>
        <v>690</v>
      </c>
      <c r="Y44" s="59"/>
    </row>
    <row r="45" spans="1:25" ht="16.5" customHeight="1" x14ac:dyDescent="0.2">
      <c r="A45" s="44">
        <v>16</v>
      </c>
      <c r="B45" s="53">
        <v>3461</v>
      </c>
      <c r="C45" s="69" t="s">
        <v>877</v>
      </c>
      <c r="D45" s="245"/>
      <c r="E45" s="246"/>
      <c r="F45" s="245"/>
      <c r="G45" s="246"/>
      <c r="H45" s="67"/>
      <c r="I45" s="63"/>
      <c r="J45" s="241" t="s">
        <v>398</v>
      </c>
      <c r="K45" s="60" t="s">
        <v>397</v>
      </c>
      <c r="L45" s="61">
        <v>0.7</v>
      </c>
      <c r="M45" s="55"/>
      <c r="N45" s="56"/>
      <c r="O45" s="57"/>
      <c r="P45" s="47"/>
      <c r="R45" s="63"/>
      <c r="S45" s="47"/>
      <c r="U45" s="63"/>
      <c r="V45" s="47"/>
      <c r="X45" s="58">
        <f>ROUND((_11_A通院１１．５*_11・基礎１),0)+ROUND((ROUND((_11_B通院１１．５＿０．５*_11・基礎１),0)*(1+_11・B夜間)),0)</f>
        <v>482</v>
      </c>
      <c r="Y45" s="59"/>
    </row>
    <row r="46" spans="1:25" ht="16.5" customHeight="1" x14ac:dyDescent="0.2">
      <c r="A46" s="44">
        <v>16</v>
      </c>
      <c r="B46" s="53">
        <v>3462</v>
      </c>
      <c r="C46" s="69" t="s">
        <v>878</v>
      </c>
      <c r="D46" s="84">
        <f>_11_A通院１１．５</f>
        <v>587</v>
      </c>
      <c r="E46" s="25" t="s">
        <v>394</v>
      </c>
      <c r="F46" s="84">
        <f>_11_B通院１１．５＿０．５</f>
        <v>82</v>
      </c>
      <c r="G46" s="25" t="s">
        <v>394</v>
      </c>
      <c r="H46" s="67"/>
      <c r="I46" s="63"/>
      <c r="J46" s="242"/>
      <c r="K46" s="49"/>
      <c r="L46" s="50"/>
      <c r="M46" s="55" t="s">
        <v>396</v>
      </c>
      <c r="N46" s="56" t="s">
        <v>397</v>
      </c>
      <c r="O46" s="57">
        <v>1</v>
      </c>
      <c r="P46" s="47"/>
      <c r="R46" s="63"/>
      <c r="S46" s="47"/>
      <c r="U46" s="63"/>
      <c r="V46" s="54"/>
      <c r="W46" s="49"/>
      <c r="X46" s="58">
        <f>ROUND((ROUND((_11_A通院１１．５*_11・基礎１),0)*_11・２人),0)+ROUND((ROUND((ROUND((_11_B通院１１．５＿０．５*_11・基礎１),0)*_11・２人),0)*(1+_11・B夜間)),0)</f>
        <v>482</v>
      </c>
      <c r="Y46" s="59"/>
    </row>
    <row r="47" spans="1:25" ht="16.5" customHeight="1" x14ac:dyDescent="0.2">
      <c r="A47" s="44">
        <v>16</v>
      </c>
      <c r="B47" s="53">
        <v>3463</v>
      </c>
      <c r="C47" s="69" t="s">
        <v>879</v>
      </c>
      <c r="D47" s="67"/>
      <c r="E47" s="83"/>
      <c r="F47" s="243" t="s">
        <v>1981</v>
      </c>
      <c r="G47" s="244"/>
      <c r="H47" s="67"/>
      <c r="I47" s="63"/>
      <c r="J47" s="62"/>
      <c r="K47" s="60"/>
      <c r="L47" s="61"/>
      <c r="M47" s="55"/>
      <c r="N47" s="56"/>
      <c r="O47" s="57"/>
      <c r="P47" s="47"/>
      <c r="R47" s="63"/>
      <c r="S47" s="47"/>
      <c r="U47" s="63"/>
      <c r="V47" s="62"/>
      <c r="W47" s="60"/>
      <c r="X47" s="58">
        <f>_11_A通院１１．５+ROUND((_11_B通院１１．５＿１．０*(1+_11・B夜間)),0)</f>
        <v>796</v>
      </c>
      <c r="Y47" s="59"/>
    </row>
    <row r="48" spans="1:25" ht="16.5" customHeight="1" x14ac:dyDescent="0.2">
      <c r="A48" s="44">
        <v>16</v>
      </c>
      <c r="B48" s="53">
        <v>3464</v>
      </c>
      <c r="C48" s="69" t="s">
        <v>880</v>
      </c>
      <c r="D48" s="67"/>
      <c r="E48" s="83"/>
      <c r="F48" s="245"/>
      <c r="G48" s="246"/>
      <c r="H48" s="67"/>
      <c r="I48" s="63"/>
      <c r="J48" s="54"/>
      <c r="K48" s="49"/>
      <c r="L48" s="50"/>
      <c r="M48" s="55" t="s">
        <v>396</v>
      </c>
      <c r="N48" s="56" t="s">
        <v>397</v>
      </c>
      <c r="O48" s="57">
        <v>1</v>
      </c>
      <c r="P48" s="47"/>
      <c r="R48" s="63"/>
      <c r="S48" s="47"/>
      <c r="U48" s="63"/>
      <c r="V48" s="47"/>
      <c r="X48" s="58">
        <f>ROUND((_11_A通院１１．５*_11・２人),0)+ROUND((ROUND((_11_B通院１１．５＿１．０*_11・２人),0)*(1+_11・B夜間)),0)</f>
        <v>796</v>
      </c>
      <c r="Y48" s="59"/>
    </row>
    <row r="49" spans="1:25" ht="16.5" customHeight="1" x14ac:dyDescent="0.2">
      <c r="A49" s="44">
        <v>16</v>
      </c>
      <c r="B49" s="53">
        <v>3465</v>
      </c>
      <c r="C49" s="69" t="s">
        <v>881</v>
      </c>
      <c r="D49" s="67"/>
      <c r="E49" s="83"/>
      <c r="F49" s="245"/>
      <c r="G49" s="246"/>
      <c r="H49" s="67"/>
      <c r="I49" s="63"/>
      <c r="J49" s="241" t="s">
        <v>398</v>
      </c>
      <c r="K49" s="60" t="s">
        <v>397</v>
      </c>
      <c r="L49" s="61">
        <v>0.7</v>
      </c>
      <c r="M49" s="55"/>
      <c r="N49" s="56"/>
      <c r="O49" s="57"/>
      <c r="P49" s="47"/>
      <c r="R49" s="63"/>
      <c r="S49" s="47"/>
      <c r="U49" s="63"/>
      <c r="V49" s="47"/>
      <c r="X49" s="58">
        <f>ROUND((_11_A通院１１．５*_11・基礎１),0)+ROUND((ROUND((_11_B通院１１．５＿１．０*_11・基礎１),0)*(1+_11・B夜間)),0)</f>
        <v>557</v>
      </c>
      <c r="Y49" s="59"/>
    </row>
    <row r="50" spans="1:25" ht="16.5" customHeight="1" x14ac:dyDescent="0.2">
      <c r="A50" s="44">
        <v>16</v>
      </c>
      <c r="B50" s="53">
        <v>3466</v>
      </c>
      <c r="C50" s="69" t="s">
        <v>882</v>
      </c>
      <c r="D50" s="67"/>
      <c r="E50" s="83"/>
      <c r="F50" s="84">
        <f>_11_B通院１１．５＿１．０</f>
        <v>167</v>
      </c>
      <c r="G50" s="25" t="s">
        <v>394</v>
      </c>
      <c r="H50" s="67"/>
      <c r="I50" s="63"/>
      <c r="J50" s="242"/>
      <c r="K50" s="49"/>
      <c r="L50" s="50"/>
      <c r="M50" s="55" t="s">
        <v>396</v>
      </c>
      <c r="N50" s="56" t="s">
        <v>397</v>
      </c>
      <c r="O50" s="57">
        <v>1</v>
      </c>
      <c r="P50" s="47"/>
      <c r="R50" s="63"/>
      <c r="S50" s="47"/>
      <c r="U50" s="63"/>
      <c r="V50" s="54"/>
      <c r="W50" s="49"/>
      <c r="X50" s="58">
        <f>ROUND((ROUND((_11_A通院１１．５*_11・基礎１),0)*_11・２人),0)+ROUND((ROUND((ROUND((_11_B通院１１．５＿１．０*_11・基礎１),0)*_11・２人),0)*(1+_11・B夜間)),0)</f>
        <v>557</v>
      </c>
      <c r="Y50" s="59"/>
    </row>
    <row r="51" spans="1:25" ht="16.5" customHeight="1" x14ac:dyDescent="0.2">
      <c r="A51" s="44">
        <v>16</v>
      </c>
      <c r="B51" s="53">
        <v>3467</v>
      </c>
      <c r="C51" s="69" t="s">
        <v>883</v>
      </c>
      <c r="D51" s="67"/>
      <c r="E51" s="83"/>
      <c r="F51" s="243" t="s">
        <v>1982</v>
      </c>
      <c r="G51" s="244"/>
      <c r="H51" s="67"/>
      <c r="I51" s="63"/>
      <c r="J51" s="62"/>
      <c r="K51" s="60"/>
      <c r="L51" s="61"/>
      <c r="M51" s="55"/>
      <c r="N51" s="56"/>
      <c r="O51" s="57"/>
      <c r="P51" s="47"/>
      <c r="R51" s="63"/>
      <c r="S51" s="47"/>
      <c r="U51" s="63"/>
      <c r="V51" s="62"/>
      <c r="W51" s="60"/>
      <c r="X51" s="58">
        <f>_11_A通院１１．５+ROUND((_11_B通院１１．５＿１．５*(1+_11・B夜間)),0)</f>
        <v>900</v>
      </c>
      <c r="Y51" s="59"/>
    </row>
    <row r="52" spans="1:25" ht="16.5" customHeight="1" x14ac:dyDescent="0.2">
      <c r="A52" s="44">
        <v>16</v>
      </c>
      <c r="B52" s="53">
        <v>3468</v>
      </c>
      <c r="C52" s="69" t="s">
        <v>884</v>
      </c>
      <c r="D52" s="67"/>
      <c r="E52" s="83"/>
      <c r="F52" s="245"/>
      <c r="G52" s="246"/>
      <c r="H52" s="67"/>
      <c r="I52" s="63"/>
      <c r="J52" s="54"/>
      <c r="K52" s="49"/>
      <c r="L52" s="50"/>
      <c r="M52" s="55" t="s">
        <v>396</v>
      </c>
      <c r="N52" s="56" t="s">
        <v>397</v>
      </c>
      <c r="O52" s="57">
        <v>1</v>
      </c>
      <c r="P52" s="47"/>
      <c r="R52" s="63"/>
      <c r="S52" s="47"/>
      <c r="U52" s="63"/>
      <c r="V52" s="47"/>
      <c r="X52" s="58">
        <f>ROUND((_11_A通院１１．５*_11・２人),0)+ROUND((ROUND((_11_B通院１１．５＿１．５*_11・２人),0)*(1+_11・B夜間)),0)</f>
        <v>900</v>
      </c>
      <c r="Y52" s="59"/>
    </row>
    <row r="53" spans="1:25" ht="16.5" customHeight="1" x14ac:dyDescent="0.2">
      <c r="A53" s="44">
        <v>16</v>
      </c>
      <c r="B53" s="53">
        <v>3469</v>
      </c>
      <c r="C53" s="69" t="s">
        <v>885</v>
      </c>
      <c r="D53" s="67"/>
      <c r="E53" s="83"/>
      <c r="F53" s="245"/>
      <c r="G53" s="246"/>
      <c r="H53" s="67"/>
      <c r="I53" s="63"/>
      <c r="J53" s="241" t="s">
        <v>398</v>
      </c>
      <c r="K53" s="60" t="s">
        <v>397</v>
      </c>
      <c r="L53" s="61">
        <v>0.7</v>
      </c>
      <c r="M53" s="55"/>
      <c r="N53" s="56"/>
      <c r="O53" s="57"/>
      <c r="P53" s="47"/>
      <c r="R53" s="63"/>
      <c r="S53" s="47"/>
      <c r="U53" s="63"/>
      <c r="V53" s="47"/>
      <c r="X53" s="58">
        <f>ROUND((_11_A通院１１．５*_11・基礎１),0)+ROUND((ROUND((_11_B通院１１．５＿１．５*_11・基礎１),0)*(1+_11・B夜間)),0)</f>
        <v>630</v>
      </c>
      <c r="Y53" s="59"/>
    </row>
    <row r="54" spans="1:25" ht="16.5" customHeight="1" x14ac:dyDescent="0.2">
      <c r="A54" s="44">
        <v>16</v>
      </c>
      <c r="B54" s="53">
        <v>3470</v>
      </c>
      <c r="C54" s="69" t="s">
        <v>886</v>
      </c>
      <c r="D54" s="67"/>
      <c r="E54" s="83"/>
      <c r="F54" s="84">
        <f>_11_B通院１１．５＿１．５</f>
        <v>250</v>
      </c>
      <c r="G54" s="25" t="s">
        <v>394</v>
      </c>
      <c r="H54" s="67"/>
      <c r="I54" s="63"/>
      <c r="J54" s="242"/>
      <c r="K54" s="49"/>
      <c r="L54" s="50"/>
      <c r="M54" s="55" t="s">
        <v>396</v>
      </c>
      <c r="N54" s="56" t="s">
        <v>397</v>
      </c>
      <c r="O54" s="57">
        <v>1</v>
      </c>
      <c r="P54" s="47"/>
      <c r="R54" s="63"/>
      <c r="S54" s="47"/>
      <c r="U54" s="63"/>
      <c r="V54" s="54"/>
      <c r="W54" s="49"/>
      <c r="X54" s="58">
        <f>ROUND((ROUND((_11_A通院１１．５*_11・基礎１),0)*_11・２人),0)+ROUND((ROUND((ROUND((_11_B通院１１．５＿１．５*_11・基礎１),0)*_11・２人),0)*(1+_11・B夜間)),0)</f>
        <v>630</v>
      </c>
      <c r="Y54" s="59"/>
    </row>
    <row r="55" spans="1:25" ht="16.5" customHeight="1" x14ac:dyDescent="0.2">
      <c r="A55" s="44">
        <v>16</v>
      </c>
      <c r="B55" s="44">
        <v>3471</v>
      </c>
      <c r="C55" s="45" t="s">
        <v>887</v>
      </c>
      <c r="D55" s="245" t="s">
        <v>1925</v>
      </c>
      <c r="E55" s="246"/>
      <c r="F55" s="245" t="s">
        <v>1980</v>
      </c>
      <c r="G55" s="246"/>
      <c r="H55" s="67"/>
      <c r="I55" s="63"/>
      <c r="J55" s="47"/>
      <c r="M55" s="48"/>
      <c r="N55" s="49"/>
      <c r="O55" s="50"/>
      <c r="P55" s="47"/>
      <c r="R55" s="63"/>
      <c r="S55" s="67"/>
      <c r="U55" s="63"/>
      <c r="V55" s="47"/>
      <c r="X55" s="51">
        <f>_11_A通院１２．０+ROUND((_11_B通院１２．０＿０．５*(1+_11・B夜間)),0)</f>
        <v>775</v>
      </c>
      <c r="Y55" s="52"/>
    </row>
    <row r="56" spans="1:25" ht="16.5" customHeight="1" x14ac:dyDescent="0.2">
      <c r="A56" s="44">
        <v>16</v>
      </c>
      <c r="B56" s="53">
        <v>3472</v>
      </c>
      <c r="C56" s="69" t="s">
        <v>888</v>
      </c>
      <c r="D56" s="245"/>
      <c r="E56" s="246"/>
      <c r="F56" s="245"/>
      <c r="G56" s="246"/>
      <c r="H56" s="67"/>
      <c r="I56" s="63"/>
      <c r="J56" s="54"/>
      <c r="K56" s="49"/>
      <c r="L56" s="50"/>
      <c r="M56" s="55" t="s">
        <v>396</v>
      </c>
      <c r="N56" s="56" t="s">
        <v>397</v>
      </c>
      <c r="O56" s="57">
        <v>1</v>
      </c>
      <c r="P56" s="47"/>
      <c r="R56" s="63"/>
      <c r="S56" s="47"/>
      <c r="U56" s="248"/>
      <c r="V56" s="47"/>
      <c r="X56" s="58">
        <f>ROUND((_11_A通院１２．０*_11・２人),0)+ROUND((ROUND((_11_B通院１２．０＿０．５*_11・２人),0)*(1+_11・B夜間)),0)</f>
        <v>775</v>
      </c>
      <c r="Y56" s="59"/>
    </row>
    <row r="57" spans="1:25" ht="16.5" customHeight="1" x14ac:dyDescent="0.2">
      <c r="A57" s="44">
        <v>16</v>
      </c>
      <c r="B57" s="53">
        <v>3473</v>
      </c>
      <c r="C57" s="69" t="s">
        <v>889</v>
      </c>
      <c r="D57" s="245"/>
      <c r="E57" s="246"/>
      <c r="F57" s="245"/>
      <c r="G57" s="246"/>
      <c r="H57" s="67"/>
      <c r="I57" s="63"/>
      <c r="J57" s="241" t="s">
        <v>398</v>
      </c>
      <c r="K57" s="60" t="s">
        <v>397</v>
      </c>
      <c r="L57" s="61">
        <v>0.7</v>
      </c>
      <c r="M57" s="55"/>
      <c r="N57" s="56"/>
      <c r="O57" s="57"/>
      <c r="P57" s="47"/>
      <c r="R57" s="63"/>
      <c r="S57" s="47"/>
      <c r="U57" s="248"/>
      <c r="V57" s="47"/>
      <c r="X57" s="58">
        <f>ROUND((_11_A通院１２．０*_11・基礎１),0)+ROUND((ROUND((_11_B通院１２．０＿０．５*_11・基礎１),0)*(1+_11・B夜間)),0)</f>
        <v>543</v>
      </c>
      <c r="Y57" s="59"/>
    </row>
    <row r="58" spans="1:25" ht="16.5" customHeight="1" x14ac:dyDescent="0.2">
      <c r="A58" s="44">
        <v>16</v>
      </c>
      <c r="B58" s="53">
        <v>3474</v>
      </c>
      <c r="C58" s="69" t="s">
        <v>890</v>
      </c>
      <c r="D58" s="84">
        <f>_11_A通院１２．０</f>
        <v>669</v>
      </c>
      <c r="E58" s="25" t="s">
        <v>394</v>
      </c>
      <c r="F58" s="84">
        <f>_11_B通院１２．０＿０．５</f>
        <v>85</v>
      </c>
      <c r="G58" s="25" t="s">
        <v>394</v>
      </c>
      <c r="H58" s="67"/>
      <c r="I58" s="63"/>
      <c r="J58" s="242"/>
      <c r="K58" s="49"/>
      <c r="L58" s="50"/>
      <c r="M58" s="55" t="s">
        <v>396</v>
      </c>
      <c r="N58" s="56" t="s">
        <v>397</v>
      </c>
      <c r="O58" s="57">
        <v>1</v>
      </c>
      <c r="P58" s="47"/>
      <c r="R58" s="63"/>
      <c r="S58" s="47"/>
      <c r="U58" s="63"/>
      <c r="V58" s="54"/>
      <c r="W58" s="49"/>
      <c r="X58" s="58">
        <f>ROUND((ROUND((_11_A通院１２．０*_11・基礎１),0)*_11・２人),0)+ROUND((ROUND((ROUND((_11_B通院１２．０＿０．５*_11・基礎１),0)*_11・２人),0)*(1+_11・B夜間)),0)</f>
        <v>543</v>
      </c>
      <c r="Y58" s="59"/>
    </row>
    <row r="59" spans="1:25" ht="16.5" customHeight="1" x14ac:dyDescent="0.2">
      <c r="A59" s="44">
        <v>16</v>
      </c>
      <c r="B59" s="53">
        <v>3475</v>
      </c>
      <c r="C59" s="69" t="s">
        <v>891</v>
      </c>
      <c r="D59" s="67"/>
      <c r="E59" s="83"/>
      <c r="F59" s="243" t="s">
        <v>1981</v>
      </c>
      <c r="G59" s="244"/>
      <c r="H59" s="67"/>
      <c r="I59" s="63"/>
      <c r="J59" s="62"/>
      <c r="K59" s="60"/>
      <c r="L59" s="61"/>
      <c r="M59" s="55"/>
      <c r="N59" s="56"/>
      <c r="O59" s="57"/>
      <c r="P59" s="47"/>
      <c r="R59" s="63"/>
      <c r="S59" s="47"/>
      <c r="U59" s="63"/>
      <c r="V59" s="62"/>
      <c r="W59" s="60"/>
      <c r="X59" s="58">
        <f>_11_A通院１２．０+ROUND((_11_B通院１２．０＿１．０*(1+_11・B夜間)),0)</f>
        <v>879</v>
      </c>
      <c r="Y59" s="59"/>
    </row>
    <row r="60" spans="1:25" ht="16.5" customHeight="1" x14ac:dyDescent="0.2">
      <c r="A60" s="44">
        <v>16</v>
      </c>
      <c r="B60" s="53">
        <v>3476</v>
      </c>
      <c r="C60" s="69" t="s">
        <v>892</v>
      </c>
      <c r="D60" s="67"/>
      <c r="E60" s="83"/>
      <c r="F60" s="245"/>
      <c r="G60" s="246"/>
      <c r="H60" s="67"/>
      <c r="I60" s="63"/>
      <c r="J60" s="54"/>
      <c r="K60" s="49"/>
      <c r="L60" s="50"/>
      <c r="M60" s="55" t="s">
        <v>396</v>
      </c>
      <c r="N60" s="56" t="s">
        <v>397</v>
      </c>
      <c r="O60" s="57">
        <v>1</v>
      </c>
      <c r="P60" s="47"/>
      <c r="R60" s="63"/>
      <c r="S60" s="47"/>
      <c r="U60" s="63"/>
      <c r="V60" s="47"/>
      <c r="X60" s="58">
        <f>ROUND((_11_A通院１２．０*_11・２人),0)+ROUND((ROUND((_11_B通院１２．０＿１．０*_11・２人),0)*(1+_11・B夜間)),0)</f>
        <v>879</v>
      </c>
      <c r="Y60" s="59"/>
    </row>
    <row r="61" spans="1:25" ht="16.5" customHeight="1" x14ac:dyDescent="0.2">
      <c r="A61" s="44">
        <v>16</v>
      </c>
      <c r="B61" s="53">
        <v>3477</v>
      </c>
      <c r="C61" s="69" t="s">
        <v>893</v>
      </c>
      <c r="D61" s="67"/>
      <c r="E61" s="83"/>
      <c r="F61" s="245"/>
      <c r="G61" s="246"/>
      <c r="H61" s="67"/>
      <c r="I61" s="63"/>
      <c r="J61" s="241" t="s">
        <v>398</v>
      </c>
      <c r="K61" s="60" t="s">
        <v>397</v>
      </c>
      <c r="L61" s="61">
        <v>0.7</v>
      </c>
      <c r="M61" s="55"/>
      <c r="N61" s="56"/>
      <c r="O61" s="57"/>
      <c r="P61" s="47"/>
      <c r="R61" s="63"/>
      <c r="S61" s="47"/>
      <c r="U61" s="63"/>
      <c r="V61" s="47"/>
      <c r="X61" s="58">
        <f>ROUND((_11_A通院１２．０*_11・基礎１),0)+ROUND((ROUND((_11_B通院１２．０＿１．０*_11・基礎１),0)*(1+_11・B夜間)),0)</f>
        <v>616</v>
      </c>
      <c r="Y61" s="59"/>
    </row>
    <row r="62" spans="1:25" ht="16.5" customHeight="1" x14ac:dyDescent="0.2">
      <c r="A62" s="44">
        <v>16</v>
      </c>
      <c r="B62" s="53">
        <v>3478</v>
      </c>
      <c r="C62" s="69" t="s">
        <v>894</v>
      </c>
      <c r="D62" s="67"/>
      <c r="E62" s="83"/>
      <c r="F62" s="84">
        <f>_11_B通院１２．０＿１．０</f>
        <v>168</v>
      </c>
      <c r="G62" s="25" t="s">
        <v>394</v>
      </c>
      <c r="H62" s="67"/>
      <c r="I62" s="63"/>
      <c r="J62" s="242"/>
      <c r="K62" s="49"/>
      <c r="L62" s="50"/>
      <c r="M62" s="55" t="s">
        <v>396</v>
      </c>
      <c r="N62" s="56" t="s">
        <v>397</v>
      </c>
      <c r="O62" s="57">
        <v>1</v>
      </c>
      <c r="P62" s="47"/>
      <c r="R62" s="63"/>
      <c r="S62" s="47"/>
      <c r="U62" s="63"/>
      <c r="V62" s="54"/>
      <c r="W62" s="49"/>
      <c r="X62" s="58">
        <f>ROUND((ROUND((_11_A通院１２．０*_11・基礎１),0)*_11・２人),0)+ROUND((ROUND((ROUND((_11_B通院１２．０＿１．０*_11・基礎１),0)*_11・２人),0)*(1+_11・B夜間)),0)</f>
        <v>616</v>
      </c>
      <c r="Y62" s="59"/>
    </row>
    <row r="63" spans="1:25" ht="16.5" customHeight="1" x14ac:dyDescent="0.2">
      <c r="A63" s="44">
        <v>16</v>
      </c>
      <c r="B63" s="53">
        <v>3479</v>
      </c>
      <c r="C63" s="69" t="s">
        <v>895</v>
      </c>
      <c r="D63" s="243" t="s">
        <v>1926</v>
      </c>
      <c r="E63" s="244"/>
      <c r="F63" s="243" t="s">
        <v>1980</v>
      </c>
      <c r="G63" s="244"/>
      <c r="H63" s="67"/>
      <c r="I63" s="63"/>
      <c r="J63" s="62"/>
      <c r="K63" s="60"/>
      <c r="L63" s="61"/>
      <c r="M63" s="55"/>
      <c r="N63" s="56"/>
      <c r="O63" s="57"/>
      <c r="P63" s="47"/>
      <c r="R63" s="63"/>
      <c r="S63" s="47"/>
      <c r="U63" s="63"/>
      <c r="V63" s="62"/>
      <c r="W63" s="60"/>
      <c r="X63" s="58">
        <f>_11_A通院１２．５+ROUND((_11_B通院１２．５＿０．５*(1+_11・B夜間)),0)</f>
        <v>858</v>
      </c>
      <c r="Y63" s="59"/>
    </row>
    <row r="64" spans="1:25" ht="16.5" customHeight="1" x14ac:dyDescent="0.2">
      <c r="A64" s="44">
        <v>16</v>
      </c>
      <c r="B64" s="53">
        <v>3480</v>
      </c>
      <c r="C64" s="69" t="s">
        <v>896</v>
      </c>
      <c r="D64" s="245"/>
      <c r="E64" s="246"/>
      <c r="F64" s="245"/>
      <c r="G64" s="246"/>
      <c r="H64" s="67"/>
      <c r="I64" s="63"/>
      <c r="J64" s="54"/>
      <c r="K64" s="49"/>
      <c r="L64" s="50"/>
      <c r="M64" s="55" t="s">
        <v>396</v>
      </c>
      <c r="N64" s="56" t="s">
        <v>397</v>
      </c>
      <c r="O64" s="57">
        <v>1</v>
      </c>
      <c r="P64" s="47"/>
      <c r="R64" s="63"/>
      <c r="S64" s="47"/>
      <c r="U64" s="63"/>
      <c r="V64" s="47"/>
      <c r="X64" s="58">
        <f>ROUND((_11_A通院１２．５*_11・２人),0)+ROUND((ROUND((_11_B通院１２．５＿０．５*_11・２人),0)*(1+_11・B夜間)),0)</f>
        <v>858</v>
      </c>
      <c r="Y64" s="59"/>
    </row>
    <row r="65" spans="1:25" ht="16.5" customHeight="1" x14ac:dyDescent="0.2">
      <c r="A65" s="44">
        <v>16</v>
      </c>
      <c r="B65" s="53">
        <v>3481</v>
      </c>
      <c r="C65" s="69" t="s">
        <v>897</v>
      </c>
      <c r="D65" s="245"/>
      <c r="E65" s="246"/>
      <c r="F65" s="245"/>
      <c r="G65" s="246"/>
      <c r="H65" s="67"/>
      <c r="I65" s="63"/>
      <c r="J65" s="241" t="s">
        <v>398</v>
      </c>
      <c r="K65" s="60" t="s">
        <v>397</v>
      </c>
      <c r="L65" s="61">
        <v>0.7</v>
      </c>
      <c r="M65" s="55"/>
      <c r="N65" s="56"/>
      <c r="O65" s="57"/>
      <c r="P65" s="47"/>
      <c r="R65" s="63"/>
      <c r="S65" s="47"/>
      <c r="U65" s="63"/>
      <c r="V65" s="47"/>
      <c r="X65" s="58">
        <f>ROUND((_11_A通院１２．５*_11・基礎１),0)+ROUND((ROUND((_11_B通院１２．５＿０．５*_11・基礎１),0)*(1+_11・B夜間)),0)</f>
        <v>601</v>
      </c>
      <c r="Y65" s="59"/>
    </row>
    <row r="66" spans="1:25" ht="16.5" customHeight="1" x14ac:dyDescent="0.2">
      <c r="A66" s="44">
        <v>16</v>
      </c>
      <c r="B66" s="53">
        <v>3482</v>
      </c>
      <c r="C66" s="69" t="s">
        <v>898</v>
      </c>
      <c r="D66" s="110">
        <f>_11_A通院１２．５</f>
        <v>754</v>
      </c>
      <c r="E66" s="49" t="s">
        <v>394</v>
      </c>
      <c r="F66" s="110">
        <f>_11_B通院１２．５＿０．５</f>
        <v>83</v>
      </c>
      <c r="G66" s="49" t="s">
        <v>394</v>
      </c>
      <c r="H66" s="96"/>
      <c r="I66" s="97"/>
      <c r="J66" s="242"/>
      <c r="K66" s="49"/>
      <c r="L66" s="50"/>
      <c r="M66" s="55" t="s">
        <v>396</v>
      </c>
      <c r="N66" s="56" t="s">
        <v>397</v>
      </c>
      <c r="O66" s="57">
        <v>1</v>
      </c>
      <c r="P66" s="54"/>
      <c r="Q66" s="50"/>
      <c r="R66" s="97"/>
      <c r="S66" s="54"/>
      <c r="T66" s="50"/>
      <c r="U66" s="97"/>
      <c r="V66" s="54"/>
      <c r="W66" s="49"/>
      <c r="X66" s="58">
        <f>ROUND((ROUND((_11_A通院１２．５*_11・基礎１),0)*_11・２人),0)+ROUND((ROUND((ROUND((_11_B通院１２．５＿０．５*_11・基礎１),0)*_11・２人),0)*(1+_11・B夜間)),0)</f>
        <v>601</v>
      </c>
      <c r="Y66" s="111"/>
    </row>
    <row r="67" spans="1:25" ht="16.5" customHeight="1" x14ac:dyDescent="0.2">
      <c r="A67" s="71"/>
      <c r="B67" s="71"/>
      <c r="C67" s="72"/>
      <c r="X67" s="74"/>
      <c r="Y67" s="75"/>
    </row>
    <row r="68" spans="1:25" ht="16.5" customHeight="1" x14ac:dyDescent="0.2">
      <c r="A68" s="71"/>
      <c r="B68" s="71"/>
      <c r="C68" s="72"/>
      <c r="X68" s="74"/>
      <c r="Y68" s="75"/>
    </row>
    <row r="69" spans="1:25" ht="16.5" customHeight="1" x14ac:dyDescent="0.2">
      <c r="A69" s="71"/>
      <c r="B69" s="76" t="s">
        <v>838</v>
      </c>
      <c r="C69" s="72"/>
      <c r="D69" s="65"/>
      <c r="X69" s="74"/>
      <c r="Y69" s="75"/>
    </row>
    <row r="70" spans="1:25" ht="16.5" customHeight="1" x14ac:dyDescent="0.2">
      <c r="A70" s="77" t="s">
        <v>386</v>
      </c>
      <c r="B70" s="32"/>
      <c r="C70" s="78" t="s">
        <v>387</v>
      </c>
      <c r="D70" s="34" t="s">
        <v>388</v>
      </c>
      <c r="E70" s="91"/>
      <c r="F70" s="34"/>
      <c r="G70" s="91"/>
      <c r="H70" s="34"/>
      <c r="I70" s="34"/>
      <c r="J70" s="34"/>
      <c r="K70" s="34"/>
      <c r="L70" s="35"/>
      <c r="M70" s="34"/>
      <c r="N70" s="34"/>
      <c r="O70" s="35"/>
      <c r="P70" s="34"/>
      <c r="Q70" s="35"/>
      <c r="R70" s="34"/>
      <c r="S70" s="34"/>
      <c r="T70" s="35"/>
      <c r="U70" s="34"/>
      <c r="V70" s="34"/>
      <c r="W70" s="34"/>
      <c r="X70" s="36" t="s">
        <v>389</v>
      </c>
      <c r="Y70" s="33" t="s">
        <v>390</v>
      </c>
    </row>
    <row r="71" spans="1:25" ht="16.5" customHeight="1" x14ac:dyDescent="0.2">
      <c r="A71" s="37" t="s">
        <v>391</v>
      </c>
      <c r="B71" s="37" t="s">
        <v>392</v>
      </c>
      <c r="C71" s="79"/>
      <c r="D71" s="77" t="s">
        <v>403</v>
      </c>
      <c r="E71" s="98"/>
      <c r="F71" s="77" t="s">
        <v>404</v>
      </c>
      <c r="G71" s="92"/>
      <c r="H71" s="40"/>
      <c r="I71" s="40"/>
      <c r="J71" s="40"/>
      <c r="K71" s="40"/>
      <c r="L71" s="41"/>
      <c r="M71" s="40"/>
      <c r="N71" s="40"/>
      <c r="O71" s="41"/>
      <c r="P71" s="40"/>
      <c r="Q71" s="41"/>
      <c r="R71" s="40"/>
      <c r="S71" s="40"/>
      <c r="T71" s="41"/>
      <c r="U71" s="40"/>
      <c r="V71" s="40"/>
      <c r="W71" s="40"/>
      <c r="X71" s="42" t="s">
        <v>393</v>
      </c>
      <c r="Y71" s="43" t="s">
        <v>394</v>
      </c>
    </row>
    <row r="72" spans="1:25" ht="16.5" customHeight="1" x14ac:dyDescent="0.2">
      <c r="A72" s="44">
        <v>16</v>
      </c>
      <c r="B72" s="44">
        <v>3483</v>
      </c>
      <c r="C72" s="45" t="s">
        <v>899</v>
      </c>
      <c r="D72" s="245" t="s">
        <v>1957</v>
      </c>
      <c r="E72" s="246"/>
      <c r="F72" s="245" t="s">
        <v>1985</v>
      </c>
      <c r="G72" s="246"/>
      <c r="H72" s="245" t="s">
        <v>1975</v>
      </c>
      <c r="I72" s="246"/>
      <c r="J72" s="47"/>
      <c r="M72" s="48"/>
      <c r="N72" s="49"/>
      <c r="O72" s="50"/>
      <c r="P72" s="67" t="s">
        <v>405</v>
      </c>
      <c r="R72" s="63"/>
      <c r="S72" s="80" t="s">
        <v>406</v>
      </c>
      <c r="U72" s="63"/>
      <c r="V72" s="47"/>
      <c r="X72" s="51">
        <f>ROUND((_11_A通院１０．５*(1+_11・A深夜)),0)+ROUND((_11_B通院１０．５＿２．０*(1+_11・B早朝)),0)+_11_C通院１０．５＿２．０＿０．５</f>
        <v>1090</v>
      </c>
      <c r="Y72" s="52" t="s">
        <v>395</v>
      </c>
    </row>
    <row r="73" spans="1:25" ht="16.5" customHeight="1" x14ac:dyDescent="0.2">
      <c r="A73" s="44">
        <v>16</v>
      </c>
      <c r="B73" s="53">
        <v>3484</v>
      </c>
      <c r="C73" s="69" t="s">
        <v>900</v>
      </c>
      <c r="D73" s="245"/>
      <c r="E73" s="246"/>
      <c r="F73" s="245"/>
      <c r="G73" s="246"/>
      <c r="H73" s="245"/>
      <c r="I73" s="246"/>
      <c r="J73" s="54"/>
      <c r="K73" s="49"/>
      <c r="L73" s="50"/>
      <c r="M73" s="55" t="s">
        <v>396</v>
      </c>
      <c r="N73" s="56" t="s">
        <v>397</v>
      </c>
      <c r="O73" s="57">
        <v>1</v>
      </c>
      <c r="P73" s="47" t="s">
        <v>397</v>
      </c>
      <c r="Q73" s="26">
        <v>0.5</v>
      </c>
      <c r="R73" s="248" t="s">
        <v>400</v>
      </c>
      <c r="S73" s="47" t="s">
        <v>397</v>
      </c>
      <c r="T73" s="26">
        <v>0.25</v>
      </c>
      <c r="U73" s="248" t="s">
        <v>400</v>
      </c>
      <c r="V73" s="47"/>
      <c r="X73" s="58">
        <f>ROUND((ROUND((_11_A通院１０．５*_11・２人),0)*(1+_11・A深夜)),0)+ROUND((ROUND((_11_B通院１０．５＿２．０*_11・２人),0)*(1+_11・B早朝)),0)+ROUND((_11_C通院１０．５＿２．０＿０．５*_11・２人),0)</f>
        <v>1090</v>
      </c>
      <c r="Y73" s="59"/>
    </row>
    <row r="74" spans="1:25" ht="16.5" customHeight="1" x14ac:dyDescent="0.2">
      <c r="A74" s="44">
        <v>16</v>
      </c>
      <c r="B74" s="53">
        <v>3485</v>
      </c>
      <c r="C74" s="69" t="s">
        <v>901</v>
      </c>
      <c r="D74" s="245"/>
      <c r="E74" s="246"/>
      <c r="F74" s="245"/>
      <c r="G74" s="246"/>
      <c r="H74" s="245"/>
      <c r="I74" s="246"/>
      <c r="J74" s="241" t="s">
        <v>398</v>
      </c>
      <c r="K74" s="60" t="s">
        <v>397</v>
      </c>
      <c r="L74" s="61">
        <v>0.7</v>
      </c>
      <c r="M74" s="55"/>
      <c r="N74" s="56"/>
      <c r="O74" s="57"/>
      <c r="P74" s="47"/>
      <c r="R74" s="248"/>
      <c r="S74" s="47"/>
      <c r="U74" s="248"/>
      <c r="V74" s="47"/>
      <c r="X74" s="58">
        <f>ROUND((ROUND((_11_A通院１０．５*_11・基礎１),0)*(1+_11・A深夜)),0)+ROUND((ROUND((_11_B通院１０．５＿２．０*_11・基礎１),0)*(1+_11・B早朝)),0)+ROUND((_11_C通院１０．５＿２．０＿０．５*_11・基礎１),0)</f>
        <v>763</v>
      </c>
      <c r="Y74" s="59"/>
    </row>
    <row r="75" spans="1:25" ht="16.5" customHeight="1" x14ac:dyDescent="0.2">
      <c r="A75" s="44">
        <v>16</v>
      </c>
      <c r="B75" s="53">
        <v>3486</v>
      </c>
      <c r="C75" s="69" t="s">
        <v>902</v>
      </c>
      <c r="D75" s="110">
        <f>_11_A通院１０．５</f>
        <v>256</v>
      </c>
      <c r="E75" s="49" t="s">
        <v>394</v>
      </c>
      <c r="F75" s="110">
        <f>_11_B通院１０．５＿２．０</f>
        <v>498</v>
      </c>
      <c r="G75" s="49" t="s">
        <v>394</v>
      </c>
      <c r="H75" s="112">
        <f>_11_C通院１０．５＿２．０＿０．５</f>
        <v>83</v>
      </c>
      <c r="I75" s="97" t="s">
        <v>394</v>
      </c>
      <c r="J75" s="242"/>
      <c r="K75" s="49"/>
      <c r="L75" s="50"/>
      <c r="M75" s="55" t="s">
        <v>396</v>
      </c>
      <c r="N75" s="56" t="s">
        <v>397</v>
      </c>
      <c r="O75" s="57">
        <v>1</v>
      </c>
      <c r="P75" s="54"/>
      <c r="Q75" s="50"/>
      <c r="R75" s="97"/>
      <c r="S75" s="54"/>
      <c r="T75" s="50"/>
      <c r="U75" s="97"/>
      <c r="V75" s="54"/>
      <c r="W75" s="49"/>
      <c r="X75" s="58">
        <f>ROUND((ROUND((ROUND((_11_A通院１０．５*_11・基礎１),0)*_11・２人),0)*(1+_11・A深夜)),0)+ROUND((ROUND((ROUND((_11_B通院１０．５＿２．０*_11・基礎１),0)*_11・２人),0)*(1+_11・B早朝)),0)+ROUND((ROUND((_11_C通院１０．５＿２．０＿０．５*_11・基礎１),0)*_11・２人),0)</f>
        <v>763</v>
      </c>
      <c r="Y75" s="111"/>
    </row>
    <row r="76" spans="1:25" ht="16.5" customHeight="1" x14ac:dyDescent="0.2"/>
    <row r="77" spans="1:25" ht="16.5" customHeight="1" x14ac:dyDescent="0.2"/>
  </sheetData>
  <mergeCells count="43">
    <mergeCell ref="D7:E9"/>
    <mergeCell ref="F7:G9"/>
    <mergeCell ref="U8:U9"/>
    <mergeCell ref="J9:J10"/>
    <mergeCell ref="F11:G13"/>
    <mergeCell ref="J13:J14"/>
    <mergeCell ref="F15:G17"/>
    <mergeCell ref="J17:J18"/>
    <mergeCell ref="F19:G21"/>
    <mergeCell ref="J21:J22"/>
    <mergeCell ref="F23:G25"/>
    <mergeCell ref="J25:J26"/>
    <mergeCell ref="D27:E29"/>
    <mergeCell ref="F27:G29"/>
    <mergeCell ref="J29:J30"/>
    <mergeCell ref="F31:G33"/>
    <mergeCell ref="J33:J34"/>
    <mergeCell ref="F35:G37"/>
    <mergeCell ref="J37:J38"/>
    <mergeCell ref="F39:G41"/>
    <mergeCell ref="J41:J42"/>
    <mergeCell ref="D43:E45"/>
    <mergeCell ref="F43:G45"/>
    <mergeCell ref="J45:J46"/>
    <mergeCell ref="F47:G49"/>
    <mergeCell ref="J49:J50"/>
    <mergeCell ref="F51:G53"/>
    <mergeCell ref="J53:J54"/>
    <mergeCell ref="D55:E57"/>
    <mergeCell ref="F55:G57"/>
    <mergeCell ref="U56:U57"/>
    <mergeCell ref="J57:J58"/>
    <mergeCell ref="F59:G61"/>
    <mergeCell ref="J61:J62"/>
    <mergeCell ref="J74:J75"/>
    <mergeCell ref="R73:R74"/>
    <mergeCell ref="U73:U74"/>
    <mergeCell ref="D63:E65"/>
    <mergeCell ref="F63:G65"/>
    <mergeCell ref="J65:J66"/>
    <mergeCell ref="D72:E74"/>
    <mergeCell ref="F72:G74"/>
    <mergeCell ref="H72:I7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68"/>
  <sheetViews>
    <sheetView workbookViewId="0"/>
  </sheetViews>
  <sheetFormatPr defaultColWidth="8.90625" defaultRowHeight="14" x14ac:dyDescent="0.2"/>
  <cols>
    <col min="1" max="1" width="4.6328125" style="22" customWidth="1"/>
    <col min="2" max="2" width="7.6328125" style="22" customWidth="1"/>
    <col min="3" max="3" width="40.08984375" style="23" bestFit="1" customWidth="1"/>
    <col min="4" max="4" width="4.90625" style="23" customWidth="1"/>
    <col min="5" max="5" width="4.453125" style="25" bestFit="1" customWidth="1"/>
    <col min="6" max="6" width="4.90625" style="23" customWidth="1"/>
    <col min="7" max="7" width="4.453125" style="25" bestFit="1" customWidth="1"/>
    <col min="8" max="8" width="11.90625" style="25" customWidth="1"/>
    <col min="9" max="9" width="3.453125" style="25" bestFit="1" customWidth="1"/>
    <col min="10" max="10" width="4.453125" style="26" bestFit="1" customWidth="1"/>
    <col min="11" max="11" width="24.90625" style="27" bestFit="1" customWidth="1"/>
    <col min="12" max="12" width="3.453125" style="25" bestFit="1" customWidth="1"/>
    <col min="13" max="13" width="5.453125" style="26" bestFit="1" customWidth="1"/>
    <col min="14" max="14" width="3.453125" style="25" bestFit="1" customWidth="1"/>
    <col min="15" max="15" width="4.453125" style="26" bestFit="1" customWidth="1"/>
    <col min="16" max="16" width="5.36328125" style="25" bestFit="1" customWidth="1"/>
    <col min="17" max="17" width="3.453125" style="25" bestFit="1" customWidth="1"/>
    <col min="18" max="18" width="4.453125" style="26" bestFit="1" customWidth="1"/>
    <col min="19" max="19" width="5.36328125" style="25" bestFit="1" customWidth="1"/>
    <col min="20" max="20" width="9.90625" style="25" customWidth="1"/>
    <col min="21" max="21" width="4.453125" style="25" bestFit="1" customWidth="1"/>
    <col min="22" max="22" width="7.08984375" style="28" customWidth="1"/>
    <col min="23" max="23" width="8.6328125" style="29" customWidth="1"/>
    <col min="24" max="16384" width="8.90625" style="25"/>
  </cols>
  <sheetData>
    <row r="1" spans="1:23" ht="17.149999999999999" customHeight="1" x14ac:dyDescent="0.2"/>
    <row r="2" spans="1:23" ht="17.149999999999999" customHeight="1" x14ac:dyDescent="0.2"/>
    <row r="3" spans="1:23" ht="17.149999999999999" customHeight="1" x14ac:dyDescent="0.2"/>
    <row r="4" spans="1:23" ht="17.149999999999999" customHeight="1" x14ac:dyDescent="0.2">
      <c r="B4" s="30" t="s">
        <v>903</v>
      </c>
      <c r="D4" s="65"/>
    </row>
    <row r="5" spans="1:23" ht="16.5" customHeight="1" x14ac:dyDescent="0.2">
      <c r="A5" s="31" t="s">
        <v>386</v>
      </c>
      <c r="B5" s="32"/>
      <c r="C5" s="33" t="s">
        <v>387</v>
      </c>
      <c r="D5" s="34" t="s">
        <v>388</v>
      </c>
      <c r="E5" s="34"/>
      <c r="F5" s="34"/>
      <c r="G5" s="34"/>
      <c r="H5" s="34"/>
      <c r="I5" s="34"/>
      <c r="J5" s="35"/>
      <c r="K5" s="34"/>
      <c r="L5" s="34"/>
      <c r="M5" s="35"/>
      <c r="N5" s="34"/>
      <c r="O5" s="35"/>
      <c r="P5" s="34"/>
      <c r="Q5" s="34"/>
      <c r="R5" s="35"/>
      <c r="S5" s="34"/>
      <c r="T5" s="34"/>
      <c r="U5" s="34"/>
      <c r="V5" s="36" t="s">
        <v>389</v>
      </c>
      <c r="W5" s="33" t="s">
        <v>390</v>
      </c>
    </row>
    <row r="6" spans="1:23" ht="16.5" customHeight="1" x14ac:dyDescent="0.2">
      <c r="A6" s="37" t="s">
        <v>391</v>
      </c>
      <c r="B6" s="37" t="s">
        <v>392</v>
      </c>
      <c r="C6" s="38"/>
      <c r="D6" s="77" t="s">
        <v>403</v>
      </c>
      <c r="E6" s="113"/>
      <c r="F6" s="77" t="s">
        <v>404</v>
      </c>
      <c r="G6" s="32"/>
      <c r="H6" s="40"/>
      <c r="I6" s="40"/>
      <c r="J6" s="41"/>
      <c r="K6" s="40"/>
      <c r="L6" s="40"/>
      <c r="M6" s="41"/>
      <c r="N6" s="40"/>
      <c r="O6" s="41"/>
      <c r="P6" s="40"/>
      <c r="Q6" s="40"/>
      <c r="R6" s="41"/>
      <c r="S6" s="40"/>
      <c r="T6" s="40"/>
      <c r="U6" s="40"/>
      <c r="V6" s="42" t="s">
        <v>393</v>
      </c>
      <c r="W6" s="43" t="s">
        <v>394</v>
      </c>
    </row>
    <row r="7" spans="1:23" ht="16.5" customHeight="1" x14ac:dyDescent="0.2">
      <c r="A7" s="44">
        <v>16</v>
      </c>
      <c r="B7" s="44">
        <v>3487</v>
      </c>
      <c r="C7" s="45" t="s">
        <v>904</v>
      </c>
      <c r="D7" s="245" t="s">
        <v>1948</v>
      </c>
      <c r="E7" s="246"/>
      <c r="F7" s="245" t="s">
        <v>1986</v>
      </c>
      <c r="G7" s="246"/>
      <c r="H7" s="47"/>
      <c r="K7" s="48"/>
      <c r="L7" s="49"/>
      <c r="M7" s="50"/>
      <c r="N7" s="67" t="s">
        <v>408</v>
      </c>
      <c r="P7" s="63"/>
      <c r="Q7" s="80" t="s">
        <v>409</v>
      </c>
      <c r="S7" s="63"/>
      <c r="T7" s="47"/>
      <c r="V7" s="51">
        <f>ROUND((_11_A通院１０．５*(1+_11・A夜間)),0)+ROUND((_11_B通院１０．５＿０．５*(1+_11・B深夜)),0)</f>
        <v>542</v>
      </c>
      <c r="W7" s="52" t="s">
        <v>395</v>
      </c>
    </row>
    <row r="8" spans="1:23" ht="16.5" customHeight="1" x14ac:dyDescent="0.2">
      <c r="A8" s="44">
        <v>16</v>
      </c>
      <c r="B8" s="53">
        <v>3488</v>
      </c>
      <c r="C8" s="69" t="s">
        <v>905</v>
      </c>
      <c r="D8" s="245"/>
      <c r="E8" s="246"/>
      <c r="F8" s="245"/>
      <c r="G8" s="246"/>
      <c r="H8" s="54"/>
      <c r="I8" s="49"/>
      <c r="J8" s="50"/>
      <c r="K8" s="55" t="s">
        <v>396</v>
      </c>
      <c r="L8" s="56" t="s">
        <v>397</v>
      </c>
      <c r="M8" s="57">
        <v>1</v>
      </c>
      <c r="N8" s="47" t="s">
        <v>397</v>
      </c>
      <c r="O8" s="26">
        <v>0.25</v>
      </c>
      <c r="P8" s="248" t="s">
        <v>400</v>
      </c>
      <c r="Q8" s="47" t="s">
        <v>397</v>
      </c>
      <c r="R8" s="26">
        <v>0.5</v>
      </c>
      <c r="S8" s="248" t="s">
        <v>400</v>
      </c>
      <c r="T8" s="47"/>
      <c r="V8" s="58">
        <f>ROUND((ROUND((_11_A通院１０．５*_11・２人),0)*(1+_11・A夜間)),0)+ROUND((ROUND((_11_B通院１０．５＿０．５*_11・２人),0)*(1+_11・B深夜)),0)</f>
        <v>542</v>
      </c>
      <c r="W8" s="59"/>
    </row>
    <row r="9" spans="1:23" ht="16.5" customHeight="1" x14ac:dyDescent="0.2">
      <c r="A9" s="44">
        <v>16</v>
      </c>
      <c r="B9" s="53">
        <v>3489</v>
      </c>
      <c r="C9" s="69" t="s">
        <v>906</v>
      </c>
      <c r="D9" s="245"/>
      <c r="E9" s="246"/>
      <c r="F9" s="245"/>
      <c r="G9" s="246"/>
      <c r="H9" s="241" t="s">
        <v>398</v>
      </c>
      <c r="I9" s="60" t="s">
        <v>397</v>
      </c>
      <c r="J9" s="61">
        <v>0.7</v>
      </c>
      <c r="K9" s="55"/>
      <c r="L9" s="56"/>
      <c r="M9" s="57"/>
      <c r="N9" s="47"/>
      <c r="P9" s="248"/>
      <c r="Q9" s="47"/>
      <c r="S9" s="248"/>
      <c r="T9" s="47"/>
      <c r="V9" s="58">
        <f>ROUND((ROUND((_11_A通院１０．５*_11・基礎１),0)*(1+_11・A夜間)),0)+ROUND((ROUND((_11_B通院１０．５＿０．５*_11・基礎１),0)*(1+_11・B深夜)),0)</f>
        <v>380</v>
      </c>
      <c r="W9" s="59"/>
    </row>
    <row r="10" spans="1:23" ht="16.5" customHeight="1" x14ac:dyDescent="0.2">
      <c r="A10" s="44">
        <v>16</v>
      </c>
      <c r="B10" s="53">
        <v>3490</v>
      </c>
      <c r="C10" s="69" t="s">
        <v>907</v>
      </c>
      <c r="D10" s="99">
        <f>_11_A通院１０．５</f>
        <v>256</v>
      </c>
      <c r="E10" s="25" t="s">
        <v>394</v>
      </c>
      <c r="F10" s="99">
        <f>_11_B通院１０．５＿０．５</f>
        <v>148</v>
      </c>
      <c r="G10" s="25" t="s">
        <v>394</v>
      </c>
      <c r="H10" s="242"/>
      <c r="I10" s="49"/>
      <c r="J10" s="50"/>
      <c r="K10" s="55" t="s">
        <v>396</v>
      </c>
      <c r="L10" s="56" t="s">
        <v>397</v>
      </c>
      <c r="M10" s="57">
        <v>1</v>
      </c>
      <c r="N10" s="47"/>
      <c r="P10" s="63"/>
      <c r="Q10" s="47"/>
      <c r="S10" s="63"/>
      <c r="T10" s="54"/>
      <c r="U10" s="49"/>
      <c r="V10" s="58">
        <f>ROUND((ROUND((ROUND((_11_A通院１０．５*_11・基礎１),0)*_11・２人),0)*(1+_11・A夜間)),0)+ROUND((ROUND((ROUND((_11_B通院１０．５＿０．５*_11・基礎１),0)*_11・２人),0)*(1+_11・B深夜)),0)</f>
        <v>380</v>
      </c>
      <c r="W10" s="59"/>
    </row>
    <row r="11" spans="1:23" ht="16.5" customHeight="1" x14ac:dyDescent="0.2">
      <c r="A11" s="44">
        <v>16</v>
      </c>
      <c r="B11" s="53">
        <v>3491</v>
      </c>
      <c r="C11" s="69" t="s">
        <v>908</v>
      </c>
      <c r="D11" s="67"/>
      <c r="F11" s="243" t="s">
        <v>1987</v>
      </c>
      <c r="G11" s="244"/>
      <c r="H11" s="62"/>
      <c r="I11" s="60"/>
      <c r="J11" s="61"/>
      <c r="K11" s="55"/>
      <c r="L11" s="56"/>
      <c r="M11" s="57"/>
      <c r="N11" s="47"/>
      <c r="P11" s="63"/>
      <c r="Q11" s="47"/>
      <c r="S11" s="63"/>
      <c r="T11" s="62"/>
      <c r="U11" s="60"/>
      <c r="V11" s="58">
        <f>ROUND((_11_A通院１０．５*(1+_11・A夜間)),0)+ROUND((_11_B通院１０．５＿１．０*(1+_11・B深夜)),0)</f>
        <v>817</v>
      </c>
      <c r="W11" s="59"/>
    </row>
    <row r="12" spans="1:23" ht="16.5" customHeight="1" x14ac:dyDescent="0.2">
      <c r="A12" s="44">
        <v>16</v>
      </c>
      <c r="B12" s="53">
        <v>3492</v>
      </c>
      <c r="C12" s="69" t="s">
        <v>909</v>
      </c>
      <c r="D12" s="67"/>
      <c r="F12" s="245"/>
      <c r="G12" s="246"/>
      <c r="H12" s="54"/>
      <c r="I12" s="49"/>
      <c r="J12" s="50"/>
      <c r="K12" s="55" t="s">
        <v>396</v>
      </c>
      <c r="L12" s="56" t="s">
        <v>397</v>
      </c>
      <c r="M12" s="57">
        <v>1</v>
      </c>
      <c r="N12" s="47"/>
      <c r="P12" s="63"/>
      <c r="Q12" s="47"/>
      <c r="S12" s="63"/>
      <c r="T12" s="47"/>
      <c r="V12" s="58">
        <f>ROUND((ROUND((_11_A通院１０．５*_11・２人),0)*(1+_11・A夜間)),0)+ROUND((ROUND((_11_B通院１０．５＿１．０*_11・２人),0)*(1+_11・B深夜)),0)</f>
        <v>817</v>
      </c>
      <c r="W12" s="59"/>
    </row>
    <row r="13" spans="1:23" ht="16.5" customHeight="1" x14ac:dyDescent="0.2">
      <c r="A13" s="44">
        <v>16</v>
      </c>
      <c r="B13" s="53">
        <v>3493</v>
      </c>
      <c r="C13" s="69" t="s">
        <v>910</v>
      </c>
      <c r="D13" s="67"/>
      <c r="F13" s="245"/>
      <c r="G13" s="246"/>
      <c r="H13" s="241" t="s">
        <v>398</v>
      </c>
      <c r="I13" s="60" t="s">
        <v>397</v>
      </c>
      <c r="J13" s="61">
        <v>0.7</v>
      </c>
      <c r="K13" s="55"/>
      <c r="L13" s="56"/>
      <c r="M13" s="57"/>
      <c r="N13" s="47"/>
      <c r="P13" s="63"/>
      <c r="Q13" s="47"/>
      <c r="S13" s="63"/>
      <c r="T13" s="47"/>
      <c r="V13" s="58">
        <f>ROUND((ROUND((_11_A通院１０．５*_11・基礎１),0)*(1+_11・A夜間)),0)+ROUND((ROUND((_11_B通院１０．５＿１．０*_11・基礎１),0)*(1+_11・B深夜)),0)</f>
        <v>572</v>
      </c>
      <c r="W13" s="59"/>
    </row>
    <row r="14" spans="1:23" ht="16.5" customHeight="1" x14ac:dyDescent="0.2">
      <c r="A14" s="44">
        <v>16</v>
      </c>
      <c r="B14" s="53">
        <v>3494</v>
      </c>
      <c r="C14" s="69" t="s">
        <v>911</v>
      </c>
      <c r="D14" s="67"/>
      <c r="F14" s="99">
        <f>_11_B通院１０．５＿１．０</f>
        <v>331</v>
      </c>
      <c r="G14" s="25" t="s">
        <v>394</v>
      </c>
      <c r="H14" s="242"/>
      <c r="I14" s="49"/>
      <c r="J14" s="50"/>
      <c r="K14" s="55" t="s">
        <v>396</v>
      </c>
      <c r="L14" s="56" t="s">
        <v>397</v>
      </c>
      <c r="M14" s="57">
        <v>1</v>
      </c>
      <c r="N14" s="47"/>
      <c r="P14" s="63"/>
      <c r="Q14" s="47"/>
      <c r="S14" s="63"/>
      <c r="T14" s="54"/>
      <c r="U14" s="49"/>
      <c r="V14" s="58">
        <f>ROUND((ROUND((ROUND((_11_A通院１０．５*_11・基礎１),0)*_11・２人),0)*(1+_11・A夜間)),0)+ROUND((ROUND((ROUND((_11_B通院１０．５＿１．０*_11・基礎１),0)*_11・２人),0)*(1+_11・B深夜)),0)</f>
        <v>572</v>
      </c>
      <c r="W14" s="59"/>
    </row>
    <row r="15" spans="1:23" ht="16.5" customHeight="1" x14ac:dyDescent="0.2">
      <c r="A15" s="44">
        <v>16</v>
      </c>
      <c r="B15" s="53">
        <v>3495</v>
      </c>
      <c r="C15" s="69" t="s">
        <v>912</v>
      </c>
      <c r="D15" s="67"/>
      <c r="F15" s="243" t="s">
        <v>1988</v>
      </c>
      <c r="G15" s="244"/>
      <c r="H15" s="62"/>
      <c r="I15" s="60"/>
      <c r="J15" s="61"/>
      <c r="K15" s="55"/>
      <c r="L15" s="56"/>
      <c r="M15" s="57"/>
      <c r="N15" s="47"/>
      <c r="P15" s="63"/>
      <c r="Q15" s="47"/>
      <c r="S15" s="63"/>
      <c r="T15" s="62"/>
      <c r="U15" s="60"/>
      <c r="V15" s="58">
        <f>ROUND((_11_A通院１０．５*(1+_11・A夜間)),0)+ROUND((_11_B通院１０．５＿１．５*(1+_11・B深夜)),0)</f>
        <v>940</v>
      </c>
      <c r="W15" s="59"/>
    </row>
    <row r="16" spans="1:23" ht="16.5" customHeight="1" x14ac:dyDescent="0.2">
      <c r="A16" s="44">
        <v>16</v>
      </c>
      <c r="B16" s="53">
        <v>3496</v>
      </c>
      <c r="C16" s="69" t="s">
        <v>913</v>
      </c>
      <c r="D16" s="67"/>
      <c r="F16" s="245"/>
      <c r="G16" s="246"/>
      <c r="H16" s="54"/>
      <c r="I16" s="49"/>
      <c r="J16" s="50"/>
      <c r="K16" s="55" t="s">
        <v>396</v>
      </c>
      <c r="L16" s="56" t="s">
        <v>397</v>
      </c>
      <c r="M16" s="57">
        <v>1</v>
      </c>
      <c r="N16" s="47"/>
      <c r="P16" s="63"/>
      <c r="Q16" s="47"/>
      <c r="S16" s="63"/>
      <c r="T16" s="47"/>
      <c r="V16" s="58">
        <f>ROUND((ROUND((_11_A通院１０．５*_11・２人),0)*(1+_11・A夜間)),0)+ROUND((ROUND((_11_B通院１０．５＿１．５*_11・２人),0)*(1+_11・B深夜)),0)</f>
        <v>940</v>
      </c>
      <c r="W16" s="59"/>
    </row>
    <row r="17" spans="1:23" ht="16.5" customHeight="1" x14ac:dyDescent="0.2">
      <c r="A17" s="44">
        <v>16</v>
      </c>
      <c r="B17" s="53">
        <v>3497</v>
      </c>
      <c r="C17" s="69" t="s">
        <v>914</v>
      </c>
      <c r="D17" s="67"/>
      <c r="F17" s="245"/>
      <c r="G17" s="246"/>
      <c r="H17" s="241" t="s">
        <v>398</v>
      </c>
      <c r="I17" s="60" t="s">
        <v>397</v>
      </c>
      <c r="J17" s="61">
        <v>0.7</v>
      </c>
      <c r="K17" s="55"/>
      <c r="L17" s="56"/>
      <c r="M17" s="57"/>
      <c r="N17" s="47"/>
      <c r="P17" s="63"/>
      <c r="Q17" s="47"/>
      <c r="S17" s="63"/>
      <c r="T17" s="47"/>
      <c r="V17" s="58">
        <f>ROUND((ROUND((_11_A通院１０．５*_11・基礎１),0)*(1+_11・A夜間)),0)+ROUND((ROUND((_11_B通院１０．５＿１．５*_11・基礎１),0)*(1+_11・B深夜)),0)</f>
        <v>658</v>
      </c>
      <c r="W17" s="59"/>
    </row>
    <row r="18" spans="1:23" ht="16.5" customHeight="1" x14ac:dyDescent="0.2">
      <c r="A18" s="44">
        <v>16</v>
      </c>
      <c r="B18" s="53">
        <v>3498</v>
      </c>
      <c r="C18" s="69" t="s">
        <v>915</v>
      </c>
      <c r="D18" s="67"/>
      <c r="F18" s="99">
        <f>_11_B通院１０．５＿１．５</f>
        <v>413</v>
      </c>
      <c r="G18" s="25" t="s">
        <v>394</v>
      </c>
      <c r="H18" s="242"/>
      <c r="I18" s="49"/>
      <c r="J18" s="50"/>
      <c r="K18" s="55" t="s">
        <v>396</v>
      </c>
      <c r="L18" s="56" t="s">
        <v>397</v>
      </c>
      <c r="M18" s="57">
        <v>1</v>
      </c>
      <c r="N18" s="47"/>
      <c r="P18" s="63"/>
      <c r="Q18" s="47"/>
      <c r="S18" s="63"/>
      <c r="T18" s="54"/>
      <c r="U18" s="49"/>
      <c r="V18" s="58">
        <f>ROUND((ROUND((ROUND((_11_A通院１０．５*_11・基礎１),0)*_11・２人),0)*(1+_11・A夜間)),0)+ROUND((ROUND((ROUND((_11_B通院１０．５＿１．５*_11・基礎１),0)*_11・２人),0)*(1+_11・B深夜)),0)</f>
        <v>658</v>
      </c>
      <c r="W18" s="59"/>
    </row>
    <row r="19" spans="1:23" ht="16.5" customHeight="1" x14ac:dyDescent="0.2">
      <c r="A19" s="44">
        <v>16</v>
      </c>
      <c r="B19" s="53">
        <v>3499</v>
      </c>
      <c r="C19" s="69" t="s">
        <v>916</v>
      </c>
      <c r="D19" s="67"/>
      <c r="F19" s="243" t="s">
        <v>1989</v>
      </c>
      <c r="G19" s="244"/>
      <c r="H19" s="62"/>
      <c r="I19" s="60"/>
      <c r="J19" s="61"/>
      <c r="K19" s="55"/>
      <c r="L19" s="56"/>
      <c r="M19" s="57"/>
      <c r="N19" s="47"/>
      <c r="P19" s="63"/>
      <c r="Q19" s="47"/>
      <c r="S19" s="63"/>
      <c r="T19" s="62"/>
      <c r="U19" s="60"/>
      <c r="V19" s="58">
        <f>ROUND((_11_A通院１０．５*(1+_11・A夜間)),0)+ROUND((_11_B通院１０．５＿２．０*(1+_11・B深夜)),0)</f>
        <v>1067</v>
      </c>
      <c r="W19" s="59"/>
    </row>
    <row r="20" spans="1:23" ht="16.5" customHeight="1" x14ac:dyDescent="0.2">
      <c r="A20" s="44">
        <v>16</v>
      </c>
      <c r="B20" s="53">
        <v>3500</v>
      </c>
      <c r="C20" s="69" t="s">
        <v>917</v>
      </c>
      <c r="D20" s="67"/>
      <c r="F20" s="245"/>
      <c r="G20" s="246"/>
      <c r="H20" s="54"/>
      <c r="I20" s="49"/>
      <c r="J20" s="50"/>
      <c r="K20" s="55" t="s">
        <v>396</v>
      </c>
      <c r="L20" s="56" t="s">
        <v>397</v>
      </c>
      <c r="M20" s="57">
        <v>1</v>
      </c>
      <c r="N20" s="47"/>
      <c r="P20" s="63"/>
      <c r="Q20" s="47"/>
      <c r="S20" s="63"/>
      <c r="T20" s="47"/>
      <c r="V20" s="58">
        <f>ROUND((ROUND((_11_A通院１０．５*_11・２人),0)*(1+_11・A夜間)),0)+ROUND((ROUND((_11_B通院１０．５＿２．０*_11・２人),0)*(1+_11・B深夜)),0)</f>
        <v>1067</v>
      </c>
      <c r="W20" s="59"/>
    </row>
    <row r="21" spans="1:23" ht="16.5" customHeight="1" x14ac:dyDescent="0.2">
      <c r="A21" s="44">
        <v>16</v>
      </c>
      <c r="B21" s="53">
        <v>3501</v>
      </c>
      <c r="C21" s="69" t="s">
        <v>918</v>
      </c>
      <c r="D21" s="67"/>
      <c r="F21" s="245"/>
      <c r="G21" s="246"/>
      <c r="H21" s="241" t="s">
        <v>398</v>
      </c>
      <c r="I21" s="60" t="s">
        <v>397</v>
      </c>
      <c r="J21" s="61">
        <v>0.7</v>
      </c>
      <c r="K21" s="55"/>
      <c r="L21" s="56"/>
      <c r="M21" s="57"/>
      <c r="N21" s="47"/>
      <c r="P21" s="63"/>
      <c r="Q21" s="47"/>
      <c r="S21" s="63"/>
      <c r="T21" s="47"/>
      <c r="V21" s="58">
        <f>ROUND((ROUND((_11_A通院１０．５*_11・基礎１),0)*(1+_11・A夜間)),0)+ROUND((ROUND((_11_B通院１０．５＿２．０*_11・基礎１),0)*(1+_11・B深夜)),0)</f>
        <v>748</v>
      </c>
      <c r="W21" s="59"/>
    </row>
    <row r="22" spans="1:23" ht="16.5" customHeight="1" x14ac:dyDescent="0.2">
      <c r="A22" s="44">
        <v>16</v>
      </c>
      <c r="B22" s="53">
        <v>3502</v>
      </c>
      <c r="C22" s="69" t="s">
        <v>919</v>
      </c>
      <c r="D22" s="67"/>
      <c r="F22" s="99">
        <f>_11_B通院１０．５＿２．０</f>
        <v>498</v>
      </c>
      <c r="G22" s="25" t="s">
        <v>394</v>
      </c>
      <c r="H22" s="242"/>
      <c r="I22" s="49"/>
      <c r="J22" s="50"/>
      <c r="K22" s="55" t="s">
        <v>396</v>
      </c>
      <c r="L22" s="56" t="s">
        <v>397</v>
      </c>
      <c r="M22" s="57">
        <v>1</v>
      </c>
      <c r="N22" s="47"/>
      <c r="P22" s="63"/>
      <c r="Q22" s="47"/>
      <c r="S22" s="63"/>
      <c r="T22" s="54"/>
      <c r="U22" s="49"/>
      <c r="V22" s="58">
        <f>ROUND((ROUND((ROUND((_11_A通院１０．５*_11・基礎１),0)*_11・２人),0)*(1+_11・A夜間)),0)+ROUND((ROUND((ROUND((_11_B通院１０．５＿２．０*_11・基礎１),0)*_11・２人),0)*(1+_11・B深夜)),0)</f>
        <v>748</v>
      </c>
      <c r="W22" s="59"/>
    </row>
    <row r="23" spans="1:23" ht="16.5" customHeight="1" x14ac:dyDescent="0.2">
      <c r="A23" s="44">
        <v>16</v>
      </c>
      <c r="B23" s="53">
        <v>3503</v>
      </c>
      <c r="C23" s="69" t="s">
        <v>920</v>
      </c>
      <c r="D23" s="67"/>
      <c r="F23" s="243" t="s">
        <v>1990</v>
      </c>
      <c r="G23" s="244"/>
      <c r="H23" s="62"/>
      <c r="I23" s="60"/>
      <c r="J23" s="61"/>
      <c r="K23" s="55"/>
      <c r="L23" s="56"/>
      <c r="M23" s="57"/>
      <c r="N23" s="47"/>
      <c r="P23" s="63"/>
      <c r="Q23" s="47"/>
      <c r="S23" s="63"/>
      <c r="T23" s="62"/>
      <c r="U23" s="60"/>
      <c r="V23" s="58">
        <f>ROUND((_11_A通院１０．５*(1+_11・A夜間)),0)+ROUND((_11_B通院１０．５＿２．５*(1+_11・B深夜)),0)</f>
        <v>1192</v>
      </c>
      <c r="W23" s="59"/>
    </row>
    <row r="24" spans="1:23" ht="16.5" customHeight="1" x14ac:dyDescent="0.2">
      <c r="A24" s="44">
        <v>16</v>
      </c>
      <c r="B24" s="53">
        <v>3504</v>
      </c>
      <c r="C24" s="69" t="s">
        <v>921</v>
      </c>
      <c r="D24" s="67"/>
      <c r="F24" s="245"/>
      <c r="G24" s="246"/>
      <c r="H24" s="54"/>
      <c r="I24" s="49"/>
      <c r="J24" s="50"/>
      <c r="K24" s="55" t="s">
        <v>396</v>
      </c>
      <c r="L24" s="56" t="s">
        <v>397</v>
      </c>
      <c r="M24" s="57">
        <v>1</v>
      </c>
      <c r="N24" s="47"/>
      <c r="P24" s="63"/>
      <c r="Q24" s="47"/>
      <c r="S24" s="63"/>
      <c r="T24" s="47"/>
      <c r="V24" s="58">
        <f>ROUND((ROUND((_11_A通院１０．５*_11・２人),0)*(1+_11・A夜間)),0)+ROUND((ROUND((_11_B通院１０．５＿２．５*_11・２人),0)*(1+_11・B深夜)),0)</f>
        <v>1192</v>
      </c>
      <c r="W24" s="59"/>
    </row>
    <row r="25" spans="1:23" ht="16.5" customHeight="1" x14ac:dyDescent="0.2">
      <c r="A25" s="44">
        <v>16</v>
      </c>
      <c r="B25" s="53">
        <v>3505</v>
      </c>
      <c r="C25" s="69" t="s">
        <v>922</v>
      </c>
      <c r="D25" s="67"/>
      <c r="F25" s="245"/>
      <c r="G25" s="246"/>
      <c r="H25" s="241" t="s">
        <v>398</v>
      </c>
      <c r="I25" s="60" t="s">
        <v>397</v>
      </c>
      <c r="J25" s="61">
        <v>0.7</v>
      </c>
      <c r="K25" s="55"/>
      <c r="L25" s="56"/>
      <c r="M25" s="57"/>
      <c r="N25" s="47"/>
      <c r="P25" s="63"/>
      <c r="Q25" s="47"/>
      <c r="S25" s="63"/>
      <c r="T25" s="47"/>
      <c r="V25" s="58">
        <f>ROUND((ROUND((_11_A通院１０．５*_11・基礎１),0)*(1+_11・A夜間)),0)+ROUND((ROUND((_11_B通院１０．５＿２．５*_11・基礎１),0)*(1+_11・B深夜)),0)</f>
        <v>835</v>
      </c>
      <c r="W25" s="59"/>
    </row>
    <row r="26" spans="1:23" ht="16.5" customHeight="1" x14ac:dyDescent="0.2">
      <c r="A26" s="44">
        <v>16</v>
      </c>
      <c r="B26" s="53">
        <v>3506</v>
      </c>
      <c r="C26" s="69" t="s">
        <v>923</v>
      </c>
      <c r="D26" s="67"/>
      <c r="F26" s="99">
        <f>_11_B通院１０．５＿２．５</f>
        <v>581</v>
      </c>
      <c r="G26" s="25" t="s">
        <v>394</v>
      </c>
      <c r="H26" s="242"/>
      <c r="I26" s="49"/>
      <c r="J26" s="50"/>
      <c r="K26" s="55" t="s">
        <v>396</v>
      </c>
      <c r="L26" s="56" t="s">
        <v>397</v>
      </c>
      <c r="M26" s="57">
        <v>1</v>
      </c>
      <c r="N26" s="47"/>
      <c r="P26" s="63"/>
      <c r="Q26" s="47"/>
      <c r="S26" s="63"/>
      <c r="T26" s="54"/>
      <c r="U26" s="49"/>
      <c r="V26" s="58">
        <f>ROUND((ROUND((ROUND((_11_A通院１０．５*_11・基礎１),0)*_11・２人),0)*(1+_11・A夜間)),0)+ROUND((ROUND((ROUND((_11_B通院１０．５＿２．５*_11・基礎１),0)*_11・２人),0)*(1+_11・B深夜)),0)</f>
        <v>835</v>
      </c>
      <c r="W26" s="59"/>
    </row>
    <row r="27" spans="1:23" ht="16.5" customHeight="1" x14ac:dyDescent="0.2">
      <c r="A27" s="44">
        <v>16</v>
      </c>
      <c r="B27" s="53">
        <v>3507</v>
      </c>
      <c r="C27" s="69" t="s">
        <v>924</v>
      </c>
      <c r="D27" s="243" t="s">
        <v>1949</v>
      </c>
      <c r="E27" s="244"/>
      <c r="F27" s="243" t="s">
        <v>1986</v>
      </c>
      <c r="G27" s="244"/>
      <c r="H27" s="62"/>
      <c r="I27" s="60"/>
      <c r="J27" s="61"/>
      <c r="K27" s="55"/>
      <c r="L27" s="56"/>
      <c r="M27" s="57"/>
      <c r="N27" s="47"/>
      <c r="P27" s="63"/>
      <c r="Q27" s="47"/>
      <c r="S27" s="63"/>
      <c r="T27" s="62"/>
      <c r="U27" s="60"/>
      <c r="V27" s="58">
        <f>ROUND((_11_A通院１１．０*(1+_11・A夜間)),0)+ROUND((_11_B通院１１．０＿０．５*(1+_11・B深夜)),0)</f>
        <v>780</v>
      </c>
      <c r="W27" s="59"/>
    </row>
    <row r="28" spans="1:23" ht="16.5" customHeight="1" x14ac:dyDescent="0.2">
      <c r="A28" s="44">
        <v>16</v>
      </c>
      <c r="B28" s="53">
        <v>3508</v>
      </c>
      <c r="C28" s="69" t="s">
        <v>925</v>
      </c>
      <c r="D28" s="245"/>
      <c r="E28" s="246"/>
      <c r="F28" s="245"/>
      <c r="G28" s="246"/>
      <c r="H28" s="54"/>
      <c r="I28" s="49"/>
      <c r="J28" s="50"/>
      <c r="K28" s="55" t="s">
        <v>396</v>
      </c>
      <c r="L28" s="56" t="s">
        <v>397</v>
      </c>
      <c r="M28" s="57">
        <v>1</v>
      </c>
      <c r="N28" s="47"/>
      <c r="P28" s="63"/>
      <c r="Q28" s="47"/>
      <c r="S28" s="63"/>
      <c r="T28" s="47"/>
      <c r="V28" s="58">
        <f>ROUND((ROUND((_11_A通院１１．０*_11・２人),0)*(1+_11・A夜間)),0)+ROUND((ROUND((_11_B通院１１．０＿０．５*_11・２人),0)*(1+_11・B深夜)),0)</f>
        <v>780</v>
      </c>
      <c r="W28" s="59"/>
    </row>
    <row r="29" spans="1:23" ht="16.5" customHeight="1" x14ac:dyDescent="0.2">
      <c r="A29" s="44">
        <v>16</v>
      </c>
      <c r="B29" s="53">
        <v>3509</v>
      </c>
      <c r="C29" s="69" t="s">
        <v>926</v>
      </c>
      <c r="D29" s="245"/>
      <c r="E29" s="246"/>
      <c r="F29" s="245"/>
      <c r="G29" s="246"/>
      <c r="H29" s="241" t="s">
        <v>398</v>
      </c>
      <c r="I29" s="60" t="s">
        <v>397</v>
      </c>
      <c r="J29" s="61">
        <v>0.7</v>
      </c>
      <c r="K29" s="55"/>
      <c r="L29" s="56"/>
      <c r="M29" s="57"/>
      <c r="N29" s="47"/>
      <c r="P29" s="63"/>
      <c r="Q29" s="47"/>
      <c r="S29" s="63"/>
      <c r="T29" s="47"/>
      <c r="V29" s="58">
        <f>ROUND((ROUND((_11_A通院１１．０*_11・基礎１),0)*(1+_11・A夜間)),0)+ROUND((ROUND((_11_B通院１１．０＿０．５*_11・基礎１),0)*(1+_11・B深夜)),0)</f>
        <v>546</v>
      </c>
      <c r="W29" s="59"/>
    </row>
    <row r="30" spans="1:23" ht="16.5" customHeight="1" x14ac:dyDescent="0.2">
      <c r="A30" s="44">
        <v>16</v>
      </c>
      <c r="B30" s="53">
        <v>3510</v>
      </c>
      <c r="C30" s="69" t="s">
        <v>927</v>
      </c>
      <c r="D30" s="99">
        <f>_11_A通院１１．０</f>
        <v>404</v>
      </c>
      <c r="E30" s="25" t="s">
        <v>394</v>
      </c>
      <c r="F30" s="99">
        <f>_11_B通院１１．０＿０．５</f>
        <v>183</v>
      </c>
      <c r="G30" s="25" t="s">
        <v>394</v>
      </c>
      <c r="H30" s="242"/>
      <c r="I30" s="49"/>
      <c r="J30" s="50"/>
      <c r="K30" s="55" t="s">
        <v>396</v>
      </c>
      <c r="L30" s="56" t="s">
        <v>397</v>
      </c>
      <c r="M30" s="57">
        <v>1</v>
      </c>
      <c r="N30" s="47"/>
      <c r="P30" s="63"/>
      <c r="Q30" s="47"/>
      <c r="S30" s="63"/>
      <c r="T30" s="54"/>
      <c r="U30" s="49"/>
      <c r="V30" s="58">
        <f>ROUND((ROUND((ROUND((_11_A通院１１．０*_11・基礎１),0)*_11・２人),0)*(1+_11・A夜間)),0)+ROUND((ROUND((ROUND((_11_B通院１１．０＿０．５*_11・基礎１),0)*_11・２人),0)*(1+_11・B深夜)),0)</f>
        <v>546</v>
      </c>
      <c r="W30" s="59"/>
    </row>
    <row r="31" spans="1:23" ht="16.5" customHeight="1" x14ac:dyDescent="0.2">
      <c r="A31" s="44">
        <v>16</v>
      </c>
      <c r="B31" s="53">
        <v>3511</v>
      </c>
      <c r="C31" s="69" t="s">
        <v>928</v>
      </c>
      <c r="D31" s="67"/>
      <c r="F31" s="243" t="s">
        <v>1987</v>
      </c>
      <c r="G31" s="244"/>
      <c r="H31" s="62"/>
      <c r="I31" s="60"/>
      <c r="J31" s="61"/>
      <c r="K31" s="55"/>
      <c r="L31" s="56"/>
      <c r="M31" s="57"/>
      <c r="N31" s="47"/>
      <c r="P31" s="63"/>
      <c r="Q31" s="47"/>
      <c r="S31" s="63"/>
      <c r="T31" s="62"/>
      <c r="U31" s="60"/>
      <c r="V31" s="58">
        <f>ROUND((_11_A通院１１．０*(1+_11・A夜間)),0)+ROUND((_11_B通院１１．０＿１．０*(1+_11・B深夜)),0)</f>
        <v>903</v>
      </c>
      <c r="W31" s="59"/>
    </row>
    <row r="32" spans="1:23" ht="16.5" customHeight="1" x14ac:dyDescent="0.2">
      <c r="A32" s="44">
        <v>16</v>
      </c>
      <c r="B32" s="53">
        <v>3512</v>
      </c>
      <c r="C32" s="69" t="s">
        <v>929</v>
      </c>
      <c r="D32" s="67"/>
      <c r="F32" s="245"/>
      <c r="G32" s="246"/>
      <c r="H32" s="54"/>
      <c r="I32" s="49"/>
      <c r="J32" s="50"/>
      <c r="K32" s="55" t="s">
        <v>396</v>
      </c>
      <c r="L32" s="56" t="s">
        <v>397</v>
      </c>
      <c r="M32" s="57">
        <v>1</v>
      </c>
      <c r="N32" s="47"/>
      <c r="P32" s="63"/>
      <c r="Q32" s="47"/>
      <c r="S32" s="63"/>
      <c r="T32" s="47"/>
      <c r="V32" s="58">
        <f>ROUND((ROUND((_11_A通院１１．０*_11・２人),0)*(1+_11・A夜間)),0)+ROUND((ROUND((_11_B通院１１．０＿１．０*_11・２人),0)*(1+_11・B深夜)),0)</f>
        <v>903</v>
      </c>
      <c r="W32" s="59"/>
    </row>
    <row r="33" spans="1:23" ht="16.5" customHeight="1" x14ac:dyDescent="0.2">
      <c r="A33" s="44">
        <v>16</v>
      </c>
      <c r="B33" s="53">
        <v>3513</v>
      </c>
      <c r="C33" s="69" t="s">
        <v>930</v>
      </c>
      <c r="D33" s="67"/>
      <c r="F33" s="245"/>
      <c r="G33" s="246"/>
      <c r="H33" s="241" t="s">
        <v>398</v>
      </c>
      <c r="I33" s="60" t="s">
        <v>397</v>
      </c>
      <c r="J33" s="61">
        <v>0.7</v>
      </c>
      <c r="K33" s="55"/>
      <c r="L33" s="56"/>
      <c r="M33" s="57"/>
      <c r="N33" s="47"/>
      <c r="P33" s="63"/>
      <c r="Q33" s="47"/>
      <c r="S33" s="63"/>
      <c r="T33" s="47"/>
      <c r="V33" s="58">
        <f>ROUND((ROUND((_11_A通院１１．０*_11・基礎１),0)*(1+_11・A夜間)),0)+ROUND((ROUND((_11_B通院１１．０＿１．０*_11・基礎１),0)*(1+_11・B深夜)),0)</f>
        <v>633</v>
      </c>
      <c r="W33" s="59"/>
    </row>
    <row r="34" spans="1:23" ht="16.5" customHeight="1" x14ac:dyDescent="0.2">
      <c r="A34" s="44">
        <v>16</v>
      </c>
      <c r="B34" s="53">
        <v>3514</v>
      </c>
      <c r="C34" s="69" t="s">
        <v>931</v>
      </c>
      <c r="D34" s="67"/>
      <c r="F34" s="99">
        <f>_11_B通院１１．０＿１．０</f>
        <v>265</v>
      </c>
      <c r="G34" s="25" t="s">
        <v>394</v>
      </c>
      <c r="H34" s="242"/>
      <c r="I34" s="49"/>
      <c r="J34" s="50"/>
      <c r="K34" s="55" t="s">
        <v>396</v>
      </c>
      <c r="L34" s="56" t="s">
        <v>397</v>
      </c>
      <c r="M34" s="57">
        <v>1</v>
      </c>
      <c r="N34" s="47"/>
      <c r="P34" s="63"/>
      <c r="Q34" s="47"/>
      <c r="S34" s="63"/>
      <c r="T34" s="54"/>
      <c r="U34" s="49"/>
      <c r="V34" s="58">
        <f>ROUND((ROUND((ROUND((_11_A通院１１．０*_11・基礎１),0)*_11・２人),0)*(1+_11・A夜間)),0)+ROUND((ROUND((ROUND((_11_B通院１１．０＿１．０*_11・基礎１),0)*_11・２人),0)*(1+_11・B深夜)),0)</f>
        <v>633</v>
      </c>
      <c r="W34" s="59"/>
    </row>
    <row r="35" spans="1:23" ht="16.5" customHeight="1" x14ac:dyDescent="0.2">
      <c r="A35" s="44">
        <v>16</v>
      </c>
      <c r="B35" s="53">
        <v>3515</v>
      </c>
      <c r="C35" s="69" t="s">
        <v>932</v>
      </c>
      <c r="D35" s="67"/>
      <c r="F35" s="243" t="s">
        <v>1988</v>
      </c>
      <c r="G35" s="244"/>
      <c r="H35" s="62"/>
      <c r="I35" s="60"/>
      <c r="J35" s="61"/>
      <c r="K35" s="55"/>
      <c r="L35" s="56"/>
      <c r="M35" s="57"/>
      <c r="N35" s="47"/>
      <c r="P35" s="63"/>
      <c r="Q35" s="47"/>
      <c r="S35" s="63"/>
      <c r="T35" s="62"/>
      <c r="U35" s="60"/>
      <c r="V35" s="58">
        <f>ROUND((_11_A通院１１．０*(1+_11・A夜間)),0)+ROUND((_11_B通院１１．０＿１．５*(1+_11・B深夜)),0)</f>
        <v>1030</v>
      </c>
      <c r="W35" s="59"/>
    </row>
    <row r="36" spans="1:23" ht="16.5" customHeight="1" x14ac:dyDescent="0.2">
      <c r="A36" s="44">
        <v>16</v>
      </c>
      <c r="B36" s="53">
        <v>3516</v>
      </c>
      <c r="C36" s="69" t="s">
        <v>933</v>
      </c>
      <c r="D36" s="67"/>
      <c r="F36" s="245"/>
      <c r="G36" s="246"/>
      <c r="H36" s="54"/>
      <c r="I36" s="49"/>
      <c r="J36" s="50"/>
      <c r="K36" s="55" t="s">
        <v>396</v>
      </c>
      <c r="L36" s="56" t="s">
        <v>397</v>
      </c>
      <c r="M36" s="57">
        <v>1</v>
      </c>
      <c r="N36" s="47"/>
      <c r="P36" s="63"/>
      <c r="Q36" s="47"/>
      <c r="S36" s="63"/>
      <c r="T36" s="47"/>
      <c r="V36" s="58">
        <f>ROUND((ROUND((_11_A通院１１．０*_11・２人),0)*(1+_11・A夜間)),0)+ROUND((ROUND((_11_B通院１１．０＿１．５*_11・２人),0)*(1+_11・B深夜)),0)</f>
        <v>1030</v>
      </c>
      <c r="W36" s="59"/>
    </row>
    <row r="37" spans="1:23" ht="16.5" customHeight="1" x14ac:dyDescent="0.2">
      <c r="A37" s="44">
        <v>16</v>
      </c>
      <c r="B37" s="53">
        <v>3517</v>
      </c>
      <c r="C37" s="69" t="s">
        <v>934</v>
      </c>
      <c r="D37" s="67"/>
      <c r="F37" s="245"/>
      <c r="G37" s="246"/>
      <c r="H37" s="241" t="s">
        <v>398</v>
      </c>
      <c r="I37" s="60" t="s">
        <v>397</v>
      </c>
      <c r="J37" s="61">
        <v>0.7</v>
      </c>
      <c r="K37" s="55"/>
      <c r="L37" s="56"/>
      <c r="M37" s="57"/>
      <c r="N37" s="47"/>
      <c r="P37" s="63"/>
      <c r="Q37" s="47"/>
      <c r="S37" s="63"/>
      <c r="T37" s="47"/>
      <c r="V37" s="58">
        <f>ROUND((ROUND((_11_A通院１１．０*_11・基礎１),0)*(1+_11・A夜間)),0)+ROUND((ROUND((_11_B通院１１．０＿１．５*_11・基礎１),0)*(1+_11・B深夜)),0)</f>
        <v>722</v>
      </c>
      <c r="W37" s="59"/>
    </row>
    <row r="38" spans="1:23" ht="16.5" customHeight="1" x14ac:dyDescent="0.2">
      <c r="A38" s="44">
        <v>16</v>
      </c>
      <c r="B38" s="53">
        <v>3518</v>
      </c>
      <c r="C38" s="69" t="s">
        <v>935</v>
      </c>
      <c r="D38" s="67"/>
      <c r="F38" s="99">
        <f>_11_B通院１１．０＿１．５</f>
        <v>350</v>
      </c>
      <c r="G38" s="25" t="s">
        <v>394</v>
      </c>
      <c r="H38" s="242"/>
      <c r="I38" s="49"/>
      <c r="J38" s="50"/>
      <c r="K38" s="55" t="s">
        <v>396</v>
      </c>
      <c r="L38" s="56" t="s">
        <v>397</v>
      </c>
      <c r="M38" s="57">
        <v>1</v>
      </c>
      <c r="N38" s="47"/>
      <c r="P38" s="63"/>
      <c r="Q38" s="47"/>
      <c r="S38" s="63"/>
      <c r="T38" s="54"/>
      <c r="U38" s="49"/>
      <c r="V38" s="58">
        <f>ROUND((ROUND((ROUND((_11_A通院１１．０*_11・基礎１),0)*_11・２人),0)*(1+_11・A夜間)),0)+ROUND((ROUND((ROUND((_11_B通院１１．０＿１．５*_11・基礎１),0)*_11・２人),0)*(1+_11・B深夜)),0)</f>
        <v>722</v>
      </c>
      <c r="W38" s="59"/>
    </row>
    <row r="39" spans="1:23" ht="16.5" customHeight="1" x14ac:dyDescent="0.2">
      <c r="A39" s="44">
        <v>16</v>
      </c>
      <c r="B39" s="53">
        <v>3519</v>
      </c>
      <c r="C39" s="69" t="s">
        <v>936</v>
      </c>
      <c r="D39" s="67"/>
      <c r="F39" s="243" t="s">
        <v>1989</v>
      </c>
      <c r="G39" s="244"/>
      <c r="H39" s="62"/>
      <c r="I39" s="60"/>
      <c r="J39" s="61"/>
      <c r="K39" s="55"/>
      <c r="L39" s="56"/>
      <c r="M39" s="57"/>
      <c r="N39" s="47"/>
      <c r="P39" s="63"/>
      <c r="Q39" s="47"/>
      <c r="S39" s="63"/>
      <c r="T39" s="62"/>
      <c r="U39" s="60"/>
      <c r="V39" s="58">
        <f>ROUND((_11_A通院１１．０*(1+_11・A夜間)),0)+ROUND((_11_B通院１１．０＿２．０*(1+_11・B深夜)),0)</f>
        <v>1155</v>
      </c>
      <c r="W39" s="59"/>
    </row>
    <row r="40" spans="1:23" ht="16.5" customHeight="1" x14ac:dyDescent="0.2">
      <c r="A40" s="44">
        <v>16</v>
      </c>
      <c r="B40" s="53">
        <v>3520</v>
      </c>
      <c r="C40" s="69" t="s">
        <v>937</v>
      </c>
      <c r="D40" s="67"/>
      <c r="F40" s="245"/>
      <c r="G40" s="246"/>
      <c r="H40" s="54"/>
      <c r="I40" s="49"/>
      <c r="J40" s="50"/>
      <c r="K40" s="55" t="s">
        <v>396</v>
      </c>
      <c r="L40" s="56" t="s">
        <v>397</v>
      </c>
      <c r="M40" s="57">
        <v>1</v>
      </c>
      <c r="N40" s="47"/>
      <c r="P40" s="63"/>
      <c r="Q40" s="47"/>
      <c r="S40" s="63"/>
      <c r="T40" s="47"/>
      <c r="V40" s="58">
        <f>ROUND((ROUND((_11_A通院１１．０*_11・２人),0)*(1+_11・A夜間)),0)+ROUND((ROUND((_11_B通院１１．０＿２．０*_11・２人),0)*(1+_11・B深夜)),0)</f>
        <v>1155</v>
      </c>
      <c r="W40" s="59"/>
    </row>
    <row r="41" spans="1:23" ht="16.5" customHeight="1" x14ac:dyDescent="0.2">
      <c r="A41" s="44">
        <v>16</v>
      </c>
      <c r="B41" s="53">
        <v>3521</v>
      </c>
      <c r="C41" s="69" t="s">
        <v>938</v>
      </c>
      <c r="D41" s="67"/>
      <c r="F41" s="245"/>
      <c r="G41" s="246"/>
      <c r="H41" s="241" t="s">
        <v>398</v>
      </c>
      <c r="I41" s="60" t="s">
        <v>397</v>
      </c>
      <c r="J41" s="61">
        <v>0.7</v>
      </c>
      <c r="K41" s="55"/>
      <c r="L41" s="56"/>
      <c r="M41" s="57"/>
      <c r="N41" s="47"/>
      <c r="P41" s="63"/>
      <c r="Q41" s="47"/>
      <c r="S41" s="63"/>
      <c r="T41" s="47"/>
      <c r="V41" s="58">
        <f>ROUND((ROUND((_11_A通院１１．０*_11・基礎１),0)*(1+_11・A夜間)),0)+ROUND((ROUND((_11_B通院１１．０＿２．０*_11・基礎１),0)*(1+_11・B深夜)),0)</f>
        <v>809</v>
      </c>
      <c r="W41" s="59"/>
    </row>
    <row r="42" spans="1:23" ht="16.5" customHeight="1" x14ac:dyDescent="0.2">
      <c r="A42" s="44">
        <v>16</v>
      </c>
      <c r="B42" s="53">
        <v>3522</v>
      </c>
      <c r="C42" s="69" t="s">
        <v>939</v>
      </c>
      <c r="D42" s="67"/>
      <c r="F42" s="99">
        <f>_11_B通院１１．０＿２．０</f>
        <v>433</v>
      </c>
      <c r="G42" s="25" t="s">
        <v>394</v>
      </c>
      <c r="H42" s="242"/>
      <c r="I42" s="49"/>
      <c r="J42" s="50"/>
      <c r="K42" s="55" t="s">
        <v>396</v>
      </c>
      <c r="L42" s="56" t="s">
        <v>397</v>
      </c>
      <c r="M42" s="57">
        <v>1</v>
      </c>
      <c r="N42" s="47"/>
      <c r="P42" s="63"/>
      <c r="Q42" s="47"/>
      <c r="S42" s="63"/>
      <c r="T42" s="54"/>
      <c r="U42" s="49"/>
      <c r="V42" s="58">
        <f>ROUND((ROUND((ROUND((_11_A通院１１．０*_11・基礎１),0)*_11・２人),0)*(1+_11・A夜間)),0)+ROUND((ROUND((ROUND((_11_B通院１１．０＿２．０*_11・基礎１),0)*_11・２人),0)*(1+_11・B深夜)),0)</f>
        <v>809</v>
      </c>
      <c r="W42" s="59"/>
    </row>
    <row r="43" spans="1:23" ht="16.5" customHeight="1" x14ac:dyDescent="0.2">
      <c r="A43" s="44">
        <v>16</v>
      </c>
      <c r="B43" s="44">
        <v>3523</v>
      </c>
      <c r="C43" s="45" t="s">
        <v>940</v>
      </c>
      <c r="D43" s="245" t="s">
        <v>1950</v>
      </c>
      <c r="E43" s="246"/>
      <c r="F43" s="245" t="s">
        <v>1986</v>
      </c>
      <c r="G43" s="246"/>
      <c r="H43" s="47"/>
      <c r="K43" s="48"/>
      <c r="L43" s="49"/>
      <c r="M43" s="50"/>
      <c r="N43" s="67"/>
      <c r="O43" s="176"/>
      <c r="P43" s="63"/>
      <c r="Q43" s="80"/>
      <c r="R43" s="176"/>
      <c r="S43" s="63"/>
      <c r="T43" s="47"/>
      <c r="V43" s="51">
        <f>ROUND((_11_A通院１１．５*(1+_11・A夜間)),0)+ROUND((_11_B通院１１．５＿０．５*(1+_11・B深夜)),0)</f>
        <v>857</v>
      </c>
      <c r="W43" s="52"/>
    </row>
    <row r="44" spans="1:23" ht="16.5" customHeight="1" x14ac:dyDescent="0.2">
      <c r="A44" s="44">
        <v>16</v>
      </c>
      <c r="B44" s="53">
        <v>3524</v>
      </c>
      <c r="C44" s="69" t="s">
        <v>941</v>
      </c>
      <c r="D44" s="245"/>
      <c r="E44" s="246"/>
      <c r="F44" s="245"/>
      <c r="G44" s="246"/>
      <c r="H44" s="54"/>
      <c r="I44" s="49"/>
      <c r="J44" s="50"/>
      <c r="K44" s="55" t="s">
        <v>396</v>
      </c>
      <c r="L44" s="56" t="s">
        <v>397</v>
      </c>
      <c r="M44" s="57">
        <v>1</v>
      </c>
      <c r="N44" s="47"/>
      <c r="O44" s="176"/>
      <c r="P44" s="248"/>
      <c r="Q44" s="47"/>
      <c r="R44" s="176"/>
      <c r="S44" s="248"/>
      <c r="T44" s="47"/>
      <c r="V44" s="58">
        <f>ROUND((ROUND((_11_A通院１１．５*_11・２人),0)*(1+_11・A夜間)),0)+ROUND((ROUND((_11_B通院１１．５＿０．５*_11・２人),0)*(1+_11・B深夜)),0)</f>
        <v>857</v>
      </c>
      <c r="W44" s="59"/>
    </row>
    <row r="45" spans="1:23" ht="16.5" customHeight="1" x14ac:dyDescent="0.2">
      <c r="A45" s="44">
        <v>16</v>
      </c>
      <c r="B45" s="53">
        <v>3525</v>
      </c>
      <c r="C45" s="69" t="s">
        <v>942</v>
      </c>
      <c r="D45" s="245"/>
      <c r="E45" s="246"/>
      <c r="F45" s="245"/>
      <c r="G45" s="246"/>
      <c r="H45" s="241" t="s">
        <v>398</v>
      </c>
      <c r="I45" s="60" t="s">
        <v>397</v>
      </c>
      <c r="J45" s="61">
        <v>0.7</v>
      </c>
      <c r="K45" s="55"/>
      <c r="L45" s="56"/>
      <c r="M45" s="57"/>
      <c r="N45" s="47"/>
      <c r="O45" s="176"/>
      <c r="P45" s="248"/>
      <c r="Q45" s="47"/>
      <c r="R45" s="176"/>
      <c r="S45" s="248"/>
      <c r="T45" s="47"/>
      <c r="V45" s="58">
        <f>ROUND((ROUND((_11_A通院１１．５*_11・基礎１),0)*(1+_11・A夜間)),0)+ROUND((ROUND((_11_B通院１１．５＿０．５*_11・基礎１),0)*(1+_11・B深夜)),0)</f>
        <v>600</v>
      </c>
      <c r="W45" s="59"/>
    </row>
    <row r="46" spans="1:23" ht="16.5" customHeight="1" x14ac:dyDescent="0.2">
      <c r="A46" s="44">
        <v>16</v>
      </c>
      <c r="B46" s="53">
        <v>3526</v>
      </c>
      <c r="C46" s="69" t="s">
        <v>943</v>
      </c>
      <c r="D46" s="99">
        <f>_11_A通院１１．５</f>
        <v>587</v>
      </c>
      <c r="E46" s="25" t="s">
        <v>394</v>
      </c>
      <c r="F46" s="99">
        <f>_11_B通院１１．５＿０．５</f>
        <v>82</v>
      </c>
      <c r="G46" s="25" t="s">
        <v>394</v>
      </c>
      <c r="H46" s="242"/>
      <c r="I46" s="49"/>
      <c r="J46" s="50"/>
      <c r="K46" s="55" t="s">
        <v>396</v>
      </c>
      <c r="L46" s="56" t="s">
        <v>397</v>
      </c>
      <c r="M46" s="57">
        <v>1</v>
      </c>
      <c r="N46" s="47"/>
      <c r="P46" s="63"/>
      <c r="Q46" s="47"/>
      <c r="S46" s="63"/>
      <c r="T46" s="54"/>
      <c r="U46" s="49"/>
      <c r="V46" s="58">
        <f>ROUND((ROUND((ROUND((_11_A通院１１．５*_11・基礎１),0)*_11・２人),0)*(1+_11・A夜間)),0)+ROUND((ROUND((ROUND((_11_B通院１１．５＿０．５*_11・基礎１),0)*_11・２人),0)*(1+_11・B深夜)),0)</f>
        <v>600</v>
      </c>
      <c r="W46" s="59"/>
    </row>
    <row r="47" spans="1:23" ht="16.5" customHeight="1" x14ac:dyDescent="0.2">
      <c r="A47" s="44">
        <v>16</v>
      </c>
      <c r="B47" s="53">
        <v>3527</v>
      </c>
      <c r="C47" s="69" t="s">
        <v>944</v>
      </c>
      <c r="D47" s="67"/>
      <c r="F47" s="243" t="s">
        <v>1987</v>
      </c>
      <c r="G47" s="244"/>
      <c r="H47" s="62"/>
      <c r="I47" s="60"/>
      <c r="J47" s="61"/>
      <c r="K47" s="55"/>
      <c r="L47" s="56"/>
      <c r="M47" s="57"/>
      <c r="N47" s="47"/>
      <c r="P47" s="63"/>
      <c r="Q47" s="47"/>
      <c r="S47" s="63"/>
      <c r="T47" s="62"/>
      <c r="U47" s="60"/>
      <c r="V47" s="58">
        <f>ROUND((_11_A通院１１．５*(1+_11・A夜間)),0)+ROUND((_11_B通院１１．５＿１．０*(1+_11・B深夜)),0)</f>
        <v>985</v>
      </c>
      <c r="W47" s="59"/>
    </row>
    <row r="48" spans="1:23" ht="16.5" customHeight="1" x14ac:dyDescent="0.2">
      <c r="A48" s="44">
        <v>16</v>
      </c>
      <c r="B48" s="53">
        <v>3528</v>
      </c>
      <c r="C48" s="69" t="s">
        <v>945</v>
      </c>
      <c r="D48" s="67"/>
      <c r="F48" s="245"/>
      <c r="G48" s="246"/>
      <c r="H48" s="54"/>
      <c r="I48" s="49"/>
      <c r="J48" s="50"/>
      <c r="K48" s="55" t="s">
        <v>396</v>
      </c>
      <c r="L48" s="56" t="s">
        <v>397</v>
      </c>
      <c r="M48" s="57">
        <v>1</v>
      </c>
      <c r="N48" s="47"/>
      <c r="P48" s="63"/>
      <c r="Q48" s="47"/>
      <c r="S48" s="63"/>
      <c r="T48" s="47"/>
      <c r="V48" s="58">
        <f>ROUND((ROUND((_11_A通院１１．５*_11・２人),0)*(1+_11・A夜間)),0)+ROUND((ROUND((_11_B通院１１．５＿１．０*_11・２人),0)*(1+_11・B深夜)),0)</f>
        <v>985</v>
      </c>
      <c r="W48" s="59"/>
    </row>
    <row r="49" spans="1:23" ht="16.5" customHeight="1" x14ac:dyDescent="0.2">
      <c r="A49" s="44">
        <v>16</v>
      </c>
      <c r="B49" s="53">
        <v>3529</v>
      </c>
      <c r="C49" s="69" t="s">
        <v>946</v>
      </c>
      <c r="D49" s="67"/>
      <c r="F49" s="245"/>
      <c r="G49" s="246"/>
      <c r="H49" s="241" t="s">
        <v>398</v>
      </c>
      <c r="I49" s="60" t="s">
        <v>397</v>
      </c>
      <c r="J49" s="61">
        <v>0.7</v>
      </c>
      <c r="K49" s="55"/>
      <c r="L49" s="56"/>
      <c r="M49" s="57"/>
      <c r="N49" s="47"/>
      <c r="P49" s="63"/>
      <c r="Q49" s="47"/>
      <c r="S49" s="63"/>
      <c r="T49" s="47"/>
      <c r="V49" s="58">
        <f>ROUND((ROUND((_11_A通院１１．５*_11・基礎１),0)*(1+_11・A夜間)),0)+ROUND((ROUND((_11_B通院１１．５＿１．０*_11・基礎１),0)*(1+_11・B深夜)),0)</f>
        <v>690</v>
      </c>
      <c r="W49" s="59"/>
    </row>
    <row r="50" spans="1:23" ht="16.5" customHeight="1" x14ac:dyDescent="0.2">
      <c r="A50" s="44">
        <v>16</v>
      </c>
      <c r="B50" s="53">
        <v>3530</v>
      </c>
      <c r="C50" s="69" t="s">
        <v>947</v>
      </c>
      <c r="D50" s="67"/>
      <c r="F50" s="99">
        <f>_11_B通院１１．５＿１．０</f>
        <v>167</v>
      </c>
      <c r="G50" s="25" t="s">
        <v>394</v>
      </c>
      <c r="H50" s="242"/>
      <c r="I50" s="49"/>
      <c r="J50" s="50"/>
      <c r="K50" s="55" t="s">
        <v>396</v>
      </c>
      <c r="L50" s="56" t="s">
        <v>397</v>
      </c>
      <c r="M50" s="57">
        <v>1</v>
      </c>
      <c r="N50" s="47"/>
      <c r="P50" s="63"/>
      <c r="Q50" s="47"/>
      <c r="S50" s="63"/>
      <c r="T50" s="54"/>
      <c r="U50" s="49"/>
      <c r="V50" s="58">
        <f>ROUND((ROUND((ROUND((_11_A通院１１．５*_11・基礎１),0)*_11・２人),0)*(1+_11・A夜間)),0)+ROUND((ROUND((ROUND((_11_B通院１１．５＿１．０*_11・基礎１),0)*_11・２人),0)*(1+_11・B深夜)),0)</f>
        <v>690</v>
      </c>
      <c r="W50" s="59"/>
    </row>
    <row r="51" spans="1:23" ht="16.5" customHeight="1" x14ac:dyDescent="0.2">
      <c r="A51" s="44">
        <v>16</v>
      </c>
      <c r="B51" s="53">
        <v>3531</v>
      </c>
      <c r="C51" s="69" t="s">
        <v>948</v>
      </c>
      <c r="D51" s="67"/>
      <c r="F51" s="243" t="s">
        <v>1988</v>
      </c>
      <c r="G51" s="244"/>
      <c r="H51" s="62"/>
      <c r="I51" s="60"/>
      <c r="J51" s="61"/>
      <c r="K51" s="55"/>
      <c r="L51" s="56"/>
      <c r="M51" s="57"/>
      <c r="N51" s="47"/>
      <c r="P51" s="63"/>
      <c r="Q51" s="47"/>
      <c r="S51" s="63"/>
      <c r="T51" s="62"/>
      <c r="U51" s="60"/>
      <c r="V51" s="58">
        <f>ROUND((_11_A通院１１．５*(1+_11・A夜間)),0)+ROUND((_11_B通院１１．５＿１．５*(1+_11・B深夜)),0)</f>
        <v>1109</v>
      </c>
      <c r="W51" s="59"/>
    </row>
    <row r="52" spans="1:23" ht="16.5" customHeight="1" x14ac:dyDescent="0.2">
      <c r="A52" s="44">
        <v>16</v>
      </c>
      <c r="B52" s="53">
        <v>3532</v>
      </c>
      <c r="C52" s="69" t="s">
        <v>949</v>
      </c>
      <c r="D52" s="67"/>
      <c r="F52" s="245"/>
      <c r="G52" s="246"/>
      <c r="H52" s="54"/>
      <c r="I52" s="49"/>
      <c r="J52" s="50"/>
      <c r="K52" s="55" t="s">
        <v>396</v>
      </c>
      <c r="L52" s="56" t="s">
        <v>397</v>
      </c>
      <c r="M52" s="57">
        <v>1</v>
      </c>
      <c r="N52" s="47"/>
      <c r="P52" s="63"/>
      <c r="Q52" s="47"/>
      <c r="S52" s="63"/>
      <c r="T52" s="47"/>
      <c r="V52" s="58">
        <f>ROUND((ROUND((_11_A通院１１．５*_11・２人),0)*(1+_11・A夜間)),0)+ROUND((ROUND((_11_B通院１１．５＿１．５*_11・２人),0)*(1+_11・B深夜)),0)</f>
        <v>1109</v>
      </c>
      <c r="W52" s="59"/>
    </row>
    <row r="53" spans="1:23" ht="16.5" customHeight="1" x14ac:dyDescent="0.2">
      <c r="A53" s="44">
        <v>16</v>
      </c>
      <c r="B53" s="53">
        <v>3533</v>
      </c>
      <c r="C53" s="69" t="s">
        <v>950</v>
      </c>
      <c r="D53" s="67"/>
      <c r="F53" s="245"/>
      <c r="G53" s="246"/>
      <c r="H53" s="241" t="s">
        <v>398</v>
      </c>
      <c r="I53" s="60" t="s">
        <v>397</v>
      </c>
      <c r="J53" s="61">
        <v>0.7</v>
      </c>
      <c r="K53" s="55"/>
      <c r="L53" s="56"/>
      <c r="M53" s="57"/>
      <c r="N53" s="47"/>
      <c r="P53" s="63"/>
      <c r="Q53" s="47"/>
      <c r="S53" s="63"/>
      <c r="T53" s="47"/>
      <c r="V53" s="58">
        <f>ROUND((ROUND((_11_A通院１１．５*_11・基礎１),0)*(1+_11・A夜間)),0)+ROUND((ROUND((_11_B通院１１．５＿１．５*_11・基礎１),0)*(1+_11・B深夜)),0)</f>
        <v>777</v>
      </c>
      <c r="W53" s="59"/>
    </row>
    <row r="54" spans="1:23" ht="16.5" customHeight="1" x14ac:dyDescent="0.2">
      <c r="A54" s="44">
        <v>16</v>
      </c>
      <c r="B54" s="53">
        <v>3534</v>
      </c>
      <c r="C54" s="69" t="s">
        <v>951</v>
      </c>
      <c r="D54" s="67"/>
      <c r="F54" s="99">
        <f>_11_B通院１１．５＿１．５</f>
        <v>250</v>
      </c>
      <c r="G54" s="25" t="s">
        <v>394</v>
      </c>
      <c r="H54" s="242"/>
      <c r="I54" s="49"/>
      <c r="J54" s="50"/>
      <c r="K54" s="55" t="s">
        <v>396</v>
      </c>
      <c r="L54" s="56" t="s">
        <v>397</v>
      </c>
      <c r="M54" s="57">
        <v>1</v>
      </c>
      <c r="N54" s="47"/>
      <c r="P54" s="63"/>
      <c r="Q54" s="47"/>
      <c r="S54" s="63"/>
      <c r="T54" s="54"/>
      <c r="U54" s="49"/>
      <c r="V54" s="58">
        <f>ROUND((ROUND((ROUND((_11_A通院１１．５*_11・基礎１),0)*_11・２人),0)*(1+_11・A夜間)),0)+ROUND((ROUND((ROUND((_11_B通院１１．５＿１．５*_11・基礎１),0)*_11・２人),0)*(1+_11・B深夜)),0)</f>
        <v>777</v>
      </c>
      <c r="W54" s="59"/>
    </row>
    <row r="55" spans="1:23" ht="16.5" customHeight="1" x14ac:dyDescent="0.2">
      <c r="A55" s="44">
        <v>16</v>
      </c>
      <c r="B55" s="53">
        <v>3535</v>
      </c>
      <c r="C55" s="69" t="s">
        <v>952</v>
      </c>
      <c r="D55" s="243" t="s">
        <v>1951</v>
      </c>
      <c r="E55" s="244"/>
      <c r="F55" s="243" t="s">
        <v>1986</v>
      </c>
      <c r="G55" s="244"/>
      <c r="H55" s="62"/>
      <c r="I55" s="60"/>
      <c r="J55" s="61"/>
      <c r="K55" s="55"/>
      <c r="L55" s="56"/>
      <c r="M55" s="57"/>
      <c r="N55" s="47"/>
      <c r="P55" s="63"/>
      <c r="Q55" s="47"/>
      <c r="S55" s="63"/>
      <c r="T55" s="62"/>
      <c r="U55" s="60"/>
      <c r="V55" s="58">
        <f>ROUND((_11_A通院１２．０*(1+_11・A夜間)),0)+ROUND((_11_B通院１２．０＿０．５*(1+_11・B深夜)),0)</f>
        <v>964</v>
      </c>
      <c r="W55" s="59"/>
    </row>
    <row r="56" spans="1:23" ht="16.5" customHeight="1" x14ac:dyDescent="0.2">
      <c r="A56" s="44">
        <v>16</v>
      </c>
      <c r="B56" s="53">
        <v>3536</v>
      </c>
      <c r="C56" s="69" t="s">
        <v>953</v>
      </c>
      <c r="D56" s="245"/>
      <c r="E56" s="246"/>
      <c r="F56" s="245"/>
      <c r="G56" s="246"/>
      <c r="H56" s="54"/>
      <c r="I56" s="49"/>
      <c r="J56" s="50"/>
      <c r="K56" s="55" t="s">
        <v>396</v>
      </c>
      <c r="L56" s="56" t="s">
        <v>397</v>
      </c>
      <c r="M56" s="57">
        <v>1</v>
      </c>
      <c r="N56" s="47"/>
      <c r="P56" s="63"/>
      <c r="Q56" s="47"/>
      <c r="S56" s="63"/>
      <c r="T56" s="47"/>
      <c r="V56" s="58">
        <f>ROUND((ROUND((_11_A通院１２．０*_11・２人),0)*(1+_11・A夜間)),0)+ROUND((ROUND((_11_B通院１２．０＿０．５*_11・２人),0)*(1+_11・B深夜)),0)</f>
        <v>964</v>
      </c>
      <c r="W56" s="59"/>
    </row>
    <row r="57" spans="1:23" ht="16.5" customHeight="1" x14ac:dyDescent="0.2">
      <c r="A57" s="44">
        <v>16</v>
      </c>
      <c r="B57" s="53">
        <v>3537</v>
      </c>
      <c r="C57" s="69" t="s">
        <v>954</v>
      </c>
      <c r="D57" s="245"/>
      <c r="E57" s="246"/>
      <c r="F57" s="245"/>
      <c r="G57" s="246"/>
      <c r="H57" s="241" t="s">
        <v>398</v>
      </c>
      <c r="I57" s="60" t="s">
        <v>397</v>
      </c>
      <c r="J57" s="61">
        <v>0.7</v>
      </c>
      <c r="K57" s="55"/>
      <c r="L57" s="56"/>
      <c r="M57" s="57"/>
      <c r="N57" s="47"/>
      <c r="P57" s="63"/>
      <c r="Q57" s="47"/>
      <c r="S57" s="63"/>
      <c r="T57" s="47"/>
      <c r="V57" s="58">
        <f>ROUND((ROUND((_11_A通院１２．０*_11・基礎１),0)*(1+_11・A夜間)),0)+ROUND((ROUND((_11_B通院１２．０＿０．５*_11・基礎１),0)*(1+_11・B深夜)),0)</f>
        <v>675</v>
      </c>
      <c r="W57" s="59"/>
    </row>
    <row r="58" spans="1:23" ht="16.5" customHeight="1" x14ac:dyDescent="0.2">
      <c r="A58" s="44">
        <v>16</v>
      </c>
      <c r="B58" s="53">
        <v>3538</v>
      </c>
      <c r="C58" s="69" t="s">
        <v>955</v>
      </c>
      <c r="D58" s="99">
        <f>_11_A通院１２．０</f>
        <v>669</v>
      </c>
      <c r="E58" s="25" t="s">
        <v>394</v>
      </c>
      <c r="F58" s="99">
        <f>_11_B通院１２．０＿０．５</f>
        <v>85</v>
      </c>
      <c r="G58" s="25" t="s">
        <v>394</v>
      </c>
      <c r="H58" s="242"/>
      <c r="I58" s="49"/>
      <c r="J58" s="50"/>
      <c r="K58" s="55" t="s">
        <v>396</v>
      </c>
      <c r="L58" s="56" t="s">
        <v>397</v>
      </c>
      <c r="M58" s="57">
        <v>1</v>
      </c>
      <c r="N58" s="47"/>
      <c r="P58" s="63"/>
      <c r="Q58" s="47"/>
      <c r="S58" s="63"/>
      <c r="T58" s="54"/>
      <c r="U58" s="49"/>
      <c r="V58" s="58">
        <f>ROUND((ROUND((ROUND((_11_A通院１２．０*_11・基礎１),0)*_11・２人),0)*(1+_11・A夜間)),0)+ROUND((ROUND((ROUND((_11_B通院１２．０＿０．５*_11・基礎１),0)*_11・２人),0)*(1+_11・B深夜)),0)</f>
        <v>675</v>
      </c>
      <c r="W58" s="59"/>
    </row>
    <row r="59" spans="1:23" ht="16.5" customHeight="1" x14ac:dyDescent="0.2">
      <c r="A59" s="44">
        <v>16</v>
      </c>
      <c r="B59" s="53">
        <v>3539</v>
      </c>
      <c r="C59" s="69" t="s">
        <v>956</v>
      </c>
      <c r="D59" s="67"/>
      <c r="F59" s="243" t="s">
        <v>1987</v>
      </c>
      <c r="G59" s="244"/>
      <c r="H59" s="62"/>
      <c r="I59" s="60"/>
      <c r="J59" s="61"/>
      <c r="K59" s="55"/>
      <c r="L59" s="56"/>
      <c r="M59" s="57"/>
      <c r="N59" s="47"/>
      <c r="P59" s="63"/>
      <c r="Q59" s="47"/>
      <c r="S59" s="63"/>
      <c r="T59" s="62"/>
      <c r="U59" s="60"/>
      <c r="V59" s="58">
        <f>ROUND((_11_A通院１２．０*(1+_11・A夜間)),0)+ROUND((_11_B通院１２．０＿１．０*(1+_11・B深夜)),0)</f>
        <v>1088</v>
      </c>
      <c r="W59" s="59"/>
    </row>
    <row r="60" spans="1:23" ht="16.5" customHeight="1" x14ac:dyDescent="0.2">
      <c r="A60" s="44">
        <v>16</v>
      </c>
      <c r="B60" s="53">
        <v>3540</v>
      </c>
      <c r="C60" s="69" t="s">
        <v>957</v>
      </c>
      <c r="D60" s="67"/>
      <c r="F60" s="245"/>
      <c r="G60" s="246"/>
      <c r="H60" s="54"/>
      <c r="I60" s="49"/>
      <c r="J60" s="50"/>
      <c r="K60" s="55" t="s">
        <v>396</v>
      </c>
      <c r="L60" s="56" t="s">
        <v>397</v>
      </c>
      <c r="M60" s="57">
        <v>1</v>
      </c>
      <c r="N60" s="47"/>
      <c r="P60" s="63"/>
      <c r="Q60" s="47"/>
      <c r="S60" s="63"/>
      <c r="T60" s="47"/>
      <c r="V60" s="58">
        <f>ROUND((ROUND((_11_A通院１２．０*_11・２人),0)*(1+_11・A夜間)),0)+ROUND((ROUND((_11_B通院１２．０＿１．０*_11・２人),0)*(1+_11・B深夜)),0)</f>
        <v>1088</v>
      </c>
      <c r="W60" s="59"/>
    </row>
    <row r="61" spans="1:23" ht="16.5" customHeight="1" x14ac:dyDescent="0.2">
      <c r="A61" s="44">
        <v>16</v>
      </c>
      <c r="B61" s="53">
        <v>3541</v>
      </c>
      <c r="C61" s="69" t="s">
        <v>958</v>
      </c>
      <c r="D61" s="67"/>
      <c r="F61" s="245"/>
      <c r="G61" s="246"/>
      <c r="H61" s="241" t="s">
        <v>398</v>
      </c>
      <c r="I61" s="60" t="s">
        <v>397</v>
      </c>
      <c r="J61" s="61">
        <v>0.7</v>
      </c>
      <c r="K61" s="55"/>
      <c r="L61" s="56"/>
      <c r="M61" s="57"/>
      <c r="N61" s="47"/>
      <c r="P61" s="63"/>
      <c r="Q61" s="47"/>
      <c r="S61" s="63"/>
      <c r="T61" s="47"/>
      <c r="V61" s="58">
        <f>ROUND((ROUND((_11_A通院１２．０*_11・基礎１),0)*(1+_11・A夜間)),0)+ROUND((ROUND((_11_B通院１２．０＿１．０*_11・基礎１),0)*(1+_11・B深夜)),0)</f>
        <v>762</v>
      </c>
      <c r="W61" s="59"/>
    </row>
    <row r="62" spans="1:23" ht="16.5" customHeight="1" x14ac:dyDescent="0.2">
      <c r="A62" s="44">
        <v>16</v>
      </c>
      <c r="B62" s="53">
        <v>3542</v>
      </c>
      <c r="C62" s="69" t="s">
        <v>959</v>
      </c>
      <c r="D62" s="67"/>
      <c r="F62" s="99">
        <f>_11_B通院１２．０＿１．０</f>
        <v>168</v>
      </c>
      <c r="G62" s="25" t="s">
        <v>394</v>
      </c>
      <c r="H62" s="242"/>
      <c r="I62" s="49"/>
      <c r="J62" s="50"/>
      <c r="K62" s="55" t="s">
        <v>396</v>
      </c>
      <c r="L62" s="56" t="s">
        <v>397</v>
      </c>
      <c r="M62" s="57">
        <v>1</v>
      </c>
      <c r="N62" s="47"/>
      <c r="P62" s="63"/>
      <c r="Q62" s="47"/>
      <c r="S62" s="63"/>
      <c r="T62" s="54"/>
      <c r="U62" s="49"/>
      <c r="V62" s="58">
        <f>ROUND((ROUND((ROUND((_11_A通院１２．０*_11・基礎１),0)*_11・２人),0)*(1+_11・A夜間)),0)+ROUND((ROUND((ROUND((_11_B通院１２．０＿１．０*_11・基礎１),0)*_11・２人),0)*(1+_11・B深夜)),0)</f>
        <v>762</v>
      </c>
      <c r="W62" s="59"/>
    </row>
    <row r="63" spans="1:23" ht="16.5" customHeight="1" x14ac:dyDescent="0.2">
      <c r="A63" s="44">
        <v>16</v>
      </c>
      <c r="B63" s="53">
        <v>3543</v>
      </c>
      <c r="C63" s="69" t="s">
        <v>960</v>
      </c>
      <c r="D63" s="243" t="s">
        <v>1952</v>
      </c>
      <c r="E63" s="244"/>
      <c r="F63" s="243" t="s">
        <v>1986</v>
      </c>
      <c r="G63" s="244"/>
      <c r="H63" s="62"/>
      <c r="I63" s="60"/>
      <c r="J63" s="61"/>
      <c r="K63" s="55"/>
      <c r="L63" s="56"/>
      <c r="M63" s="57"/>
      <c r="N63" s="47"/>
      <c r="O63" s="176"/>
      <c r="P63" s="63"/>
      <c r="Q63" s="47"/>
      <c r="R63" s="176"/>
      <c r="S63" s="63"/>
      <c r="T63" s="62"/>
      <c r="U63" s="60"/>
      <c r="V63" s="58">
        <f>ROUND((_11_A通院１２．５*(1+_11・A夜間)),0)+ROUND((_11_B通院１２．５＿０．５*(1+_11・B深夜)),0)</f>
        <v>1068</v>
      </c>
      <c r="W63" s="59"/>
    </row>
    <row r="64" spans="1:23" ht="16.5" customHeight="1" x14ac:dyDescent="0.2">
      <c r="A64" s="44">
        <v>16</v>
      </c>
      <c r="B64" s="53">
        <v>3544</v>
      </c>
      <c r="C64" s="69" t="s">
        <v>961</v>
      </c>
      <c r="D64" s="245"/>
      <c r="E64" s="246"/>
      <c r="F64" s="245"/>
      <c r="G64" s="246"/>
      <c r="H64" s="54"/>
      <c r="I64" s="49"/>
      <c r="J64" s="50"/>
      <c r="K64" s="55" t="s">
        <v>396</v>
      </c>
      <c r="L64" s="56" t="s">
        <v>397</v>
      </c>
      <c r="M64" s="57">
        <v>1</v>
      </c>
      <c r="N64" s="47"/>
      <c r="O64" s="176"/>
      <c r="P64" s="63"/>
      <c r="Q64" s="47"/>
      <c r="R64" s="176"/>
      <c r="S64" s="63"/>
      <c r="T64" s="47"/>
      <c r="U64" s="175"/>
      <c r="V64" s="58">
        <f>ROUND((ROUND((_11_A通院１２．５*_11・２人),0)*(1+_11・A夜間)),0)+ROUND((ROUND((_11_B通院１２．５＿０．５*_11・２人),0)*(1+_11・B深夜)),0)</f>
        <v>1068</v>
      </c>
      <c r="W64" s="59"/>
    </row>
    <row r="65" spans="1:23" ht="16.5" customHeight="1" x14ac:dyDescent="0.2">
      <c r="A65" s="44">
        <v>16</v>
      </c>
      <c r="B65" s="53">
        <v>3545</v>
      </c>
      <c r="C65" s="69" t="s">
        <v>962</v>
      </c>
      <c r="D65" s="245"/>
      <c r="E65" s="246"/>
      <c r="F65" s="245"/>
      <c r="G65" s="246"/>
      <c r="H65" s="241" t="s">
        <v>398</v>
      </c>
      <c r="I65" s="60" t="s">
        <v>397</v>
      </c>
      <c r="J65" s="61">
        <v>0.7</v>
      </c>
      <c r="K65" s="55"/>
      <c r="L65" s="56"/>
      <c r="M65" s="57"/>
      <c r="N65" s="47"/>
      <c r="O65" s="176"/>
      <c r="P65" s="63"/>
      <c r="Q65" s="47"/>
      <c r="R65" s="176"/>
      <c r="S65" s="63"/>
      <c r="T65" s="47"/>
      <c r="U65" s="175"/>
      <c r="V65" s="58">
        <f>ROUND((ROUND((_11_A通院１２．５*_11・基礎１),0)*(1+_11・A夜間)),0)+ROUND((ROUND((_11_B通院１２．５＿０．５*_11・基礎１),0)*(1+_11・B深夜)),0)</f>
        <v>747</v>
      </c>
      <c r="W65" s="59"/>
    </row>
    <row r="66" spans="1:23" ht="16.5" customHeight="1" x14ac:dyDescent="0.2">
      <c r="A66" s="44">
        <v>16</v>
      </c>
      <c r="B66" s="53">
        <v>3546</v>
      </c>
      <c r="C66" s="69" t="s">
        <v>963</v>
      </c>
      <c r="D66" s="112">
        <f>_11_A通院１２．５</f>
        <v>754</v>
      </c>
      <c r="E66" s="49" t="s">
        <v>394</v>
      </c>
      <c r="F66" s="112">
        <f>_11_B通院１２．５＿０．５</f>
        <v>83</v>
      </c>
      <c r="G66" s="49" t="s">
        <v>394</v>
      </c>
      <c r="H66" s="242"/>
      <c r="I66" s="49"/>
      <c r="J66" s="50"/>
      <c r="K66" s="55" t="s">
        <v>396</v>
      </c>
      <c r="L66" s="56" t="s">
        <v>397</v>
      </c>
      <c r="M66" s="57">
        <v>1</v>
      </c>
      <c r="N66" s="54"/>
      <c r="O66" s="50"/>
      <c r="P66" s="97"/>
      <c r="Q66" s="54"/>
      <c r="R66" s="50"/>
      <c r="S66" s="97"/>
      <c r="T66" s="54"/>
      <c r="U66" s="49"/>
      <c r="V66" s="58">
        <f>ROUND((ROUND((ROUND((_11_A通院１２．５*_11・基礎１),0)*_11・２人),0)*(1+_11・A夜間)),0)+ROUND((ROUND((ROUND((_11_B通院１２．５＿０．５*_11・基礎１),0)*_11・２人),0)*(1+_11・B深夜)),0)</f>
        <v>747</v>
      </c>
      <c r="W66" s="111"/>
    </row>
    <row r="67" spans="1:23" ht="16.5" customHeight="1" x14ac:dyDescent="0.2"/>
    <row r="68" spans="1:23" ht="16.5" customHeight="1" x14ac:dyDescent="0.2"/>
  </sheetData>
  <mergeCells count="39">
    <mergeCell ref="D7:E9"/>
    <mergeCell ref="F7:G9"/>
    <mergeCell ref="P8:P9"/>
    <mergeCell ref="S8:S9"/>
    <mergeCell ref="H9:H10"/>
    <mergeCell ref="F11:G13"/>
    <mergeCell ref="H13:H14"/>
    <mergeCell ref="F15:G17"/>
    <mergeCell ref="H17:H18"/>
    <mergeCell ref="F19:G21"/>
    <mergeCell ref="H21:H22"/>
    <mergeCell ref="F23:G25"/>
    <mergeCell ref="H25:H26"/>
    <mergeCell ref="D27:E29"/>
    <mergeCell ref="F27:G29"/>
    <mergeCell ref="H29:H30"/>
    <mergeCell ref="F31:G33"/>
    <mergeCell ref="H33:H34"/>
    <mergeCell ref="F35:G37"/>
    <mergeCell ref="H37:H38"/>
    <mergeCell ref="F39:G41"/>
    <mergeCell ref="H41:H42"/>
    <mergeCell ref="D43:E45"/>
    <mergeCell ref="F43:G45"/>
    <mergeCell ref="P44:P45"/>
    <mergeCell ref="S44:S45"/>
    <mergeCell ref="H45:H46"/>
    <mergeCell ref="F47:G49"/>
    <mergeCell ref="H49:H50"/>
    <mergeCell ref="F51:G53"/>
    <mergeCell ref="H53:H54"/>
    <mergeCell ref="D55:E57"/>
    <mergeCell ref="F55:G57"/>
    <mergeCell ref="H57:H58"/>
    <mergeCell ref="F59:G61"/>
    <mergeCell ref="H61:H62"/>
    <mergeCell ref="D63:E65"/>
    <mergeCell ref="F63:G65"/>
    <mergeCell ref="H65:H6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68"/>
  <sheetViews>
    <sheetView workbookViewId="0"/>
  </sheetViews>
  <sheetFormatPr defaultColWidth="8.90625" defaultRowHeight="14" x14ac:dyDescent="0.2"/>
  <cols>
    <col min="1" max="1" width="4.6328125" style="22" customWidth="1"/>
    <col min="2" max="2" width="7.6328125" style="22" customWidth="1"/>
    <col min="3" max="3" width="39.36328125" style="23" bestFit="1" customWidth="1"/>
    <col min="4" max="4" width="2.36328125" style="24" customWidth="1"/>
    <col min="5" max="6" width="4.90625" style="23" customWidth="1"/>
    <col min="7" max="7" width="2.36328125" style="23" customWidth="1"/>
    <col min="8" max="8" width="4.90625" style="23" customWidth="1"/>
    <col min="9" max="9" width="4.453125" style="90" bestFit="1" customWidth="1"/>
    <col min="10" max="10" width="11.90625" style="25" customWidth="1"/>
    <col min="11" max="11" width="3.453125" style="25" bestFit="1" customWidth="1"/>
    <col min="12" max="12" width="4.453125" style="26" bestFit="1" customWidth="1"/>
    <col min="13" max="13" width="24.90625" style="27" bestFit="1" customWidth="1"/>
    <col min="14" max="14" width="3.453125" style="25" bestFit="1" customWidth="1"/>
    <col min="15" max="15" width="5.453125" style="26" bestFit="1" customWidth="1"/>
    <col min="16" max="16" width="3.453125" style="25" bestFit="1" customWidth="1"/>
    <col min="17" max="17" width="4.453125" style="26" bestFit="1" customWidth="1"/>
    <col min="18" max="18" width="5.36328125" style="25" bestFit="1" customWidth="1"/>
    <col min="19" max="19" width="9.90625" style="25" customWidth="1"/>
    <col min="20" max="20" width="4.453125" style="25" bestFit="1" customWidth="1"/>
    <col min="21" max="21" width="7.08984375" style="28" customWidth="1"/>
    <col min="22" max="22" width="8.6328125" style="29" customWidth="1"/>
    <col min="23" max="16384" width="8.90625" style="25"/>
  </cols>
  <sheetData>
    <row r="1" spans="1:22" ht="17.149999999999999" customHeight="1" x14ac:dyDescent="0.2">
      <c r="G1" s="25"/>
    </row>
    <row r="2" spans="1:22" ht="17.149999999999999" customHeight="1" x14ac:dyDescent="0.2"/>
    <row r="3" spans="1:22" ht="17.149999999999999" customHeight="1" x14ac:dyDescent="0.2"/>
    <row r="4" spans="1:22" ht="17.149999999999999" customHeight="1" x14ac:dyDescent="0.2">
      <c r="B4" s="30" t="s">
        <v>964</v>
      </c>
      <c r="E4" s="65"/>
      <c r="F4" s="65"/>
      <c r="G4" s="65"/>
    </row>
    <row r="5" spans="1:22" ht="16.5" customHeight="1" x14ac:dyDescent="0.2">
      <c r="A5" s="31" t="s">
        <v>386</v>
      </c>
      <c r="B5" s="32"/>
      <c r="C5" s="33" t="s">
        <v>387</v>
      </c>
      <c r="D5" s="100"/>
      <c r="E5" s="34" t="s">
        <v>388</v>
      </c>
      <c r="F5" s="34"/>
      <c r="G5" s="34"/>
      <c r="H5" s="34"/>
      <c r="I5" s="91"/>
      <c r="J5" s="34"/>
      <c r="K5" s="34"/>
      <c r="L5" s="35"/>
      <c r="M5" s="34"/>
      <c r="N5" s="34"/>
      <c r="O5" s="35"/>
      <c r="P5" s="34"/>
      <c r="Q5" s="35"/>
      <c r="R5" s="34"/>
      <c r="S5" s="34"/>
      <c r="T5" s="34"/>
      <c r="U5" s="36" t="s">
        <v>389</v>
      </c>
      <c r="V5" s="33" t="s">
        <v>390</v>
      </c>
    </row>
    <row r="6" spans="1:22" ht="16.5" customHeight="1" x14ac:dyDescent="0.2">
      <c r="A6" s="37" t="s">
        <v>391</v>
      </c>
      <c r="B6" s="37" t="s">
        <v>392</v>
      </c>
      <c r="C6" s="38"/>
      <c r="D6" s="39"/>
      <c r="E6" s="40"/>
      <c r="F6" s="40"/>
      <c r="G6" s="252" t="s">
        <v>403</v>
      </c>
      <c r="H6" s="253"/>
      <c r="I6" s="254"/>
      <c r="J6" s="40"/>
      <c r="K6" s="40"/>
      <c r="L6" s="41"/>
      <c r="M6" s="40"/>
      <c r="N6" s="40"/>
      <c r="O6" s="41"/>
      <c r="P6" s="40"/>
      <c r="Q6" s="41"/>
      <c r="R6" s="40"/>
      <c r="S6" s="40"/>
      <c r="T6" s="40"/>
      <c r="U6" s="42" t="s">
        <v>393</v>
      </c>
      <c r="V6" s="43" t="s">
        <v>394</v>
      </c>
    </row>
    <row r="7" spans="1:22" ht="16.5" customHeight="1" x14ac:dyDescent="0.2">
      <c r="A7" s="53">
        <v>16</v>
      </c>
      <c r="B7" s="53">
        <v>3547</v>
      </c>
      <c r="C7" s="69" t="s">
        <v>965</v>
      </c>
      <c r="D7" s="249" t="s">
        <v>410</v>
      </c>
      <c r="E7" s="243" t="s">
        <v>1957</v>
      </c>
      <c r="F7" s="255"/>
      <c r="G7" s="249" t="s">
        <v>411</v>
      </c>
      <c r="H7" s="243" t="s">
        <v>1986</v>
      </c>
      <c r="I7" s="244"/>
      <c r="J7" s="62"/>
      <c r="K7" s="60"/>
      <c r="L7" s="61"/>
      <c r="M7" s="55"/>
      <c r="N7" s="56"/>
      <c r="O7" s="57"/>
      <c r="P7" s="87" t="s">
        <v>405</v>
      </c>
      <c r="Q7" s="61"/>
      <c r="R7" s="88"/>
      <c r="S7" s="62"/>
      <c r="T7" s="60"/>
      <c r="U7" s="58">
        <f>+ROUND((_11_B通院１０．５＿０．５*(1+_11・B深夜)),0)</f>
        <v>222</v>
      </c>
      <c r="V7" s="101" t="s">
        <v>395</v>
      </c>
    </row>
    <row r="8" spans="1:22" ht="16.5" customHeight="1" x14ac:dyDescent="0.2">
      <c r="A8" s="53">
        <v>16</v>
      </c>
      <c r="B8" s="53">
        <v>3548</v>
      </c>
      <c r="C8" s="69" t="s">
        <v>966</v>
      </c>
      <c r="D8" s="250"/>
      <c r="E8" s="245"/>
      <c r="F8" s="256"/>
      <c r="G8" s="250"/>
      <c r="H8" s="245"/>
      <c r="I8" s="246"/>
      <c r="J8" s="54"/>
      <c r="K8" s="49"/>
      <c r="L8" s="50"/>
      <c r="M8" s="55" t="s">
        <v>396</v>
      </c>
      <c r="N8" s="56" t="s">
        <v>397</v>
      </c>
      <c r="O8" s="57">
        <v>1</v>
      </c>
      <c r="P8" s="47" t="s">
        <v>397</v>
      </c>
      <c r="Q8" s="26">
        <v>0.5</v>
      </c>
      <c r="R8" s="248" t="s">
        <v>400</v>
      </c>
      <c r="S8" s="47"/>
      <c r="U8" s="58">
        <f>+ROUND((ROUND((_11_B通院１０．５＿０．５*_11・２人),0)*(1+_11・B深夜)),0)</f>
        <v>222</v>
      </c>
      <c r="V8" s="59"/>
    </row>
    <row r="9" spans="1:22" ht="16.5" customHeight="1" x14ac:dyDescent="0.2">
      <c r="A9" s="53">
        <v>16</v>
      </c>
      <c r="B9" s="53">
        <v>3549</v>
      </c>
      <c r="C9" s="69" t="s">
        <v>967</v>
      </c>
      <c r="D9" s="250"/>
      <c r="E9" s="245"/>
      <c r="F9" s="256"/>
      <c r="G9" s="250"/>
      <c r="H9" s="245"/>
      <c r="I9" s="246"/>
      <c r="J9" s="241" t="s">
        <v>398</v>
      </c>
      <c r="K9" s="60" t="s">
        <v>397</v>
      </c>
      <c r="L9" s="61">
        <v>0.7</v>
      </c>
      <c r="M9" s="55"/>
      <c r="N9" s="56"/>
      <c r="O9" s="57"/>
      <c r="P9" s="47"/>
      <c r="R9" s="248"/>
      <c r="S9" s="47"/>
      <c r="U9" s="58">
        <f>+ROUND((ROUND((_11_B通院１０．５＿０．５*_11・基礎１),0)*(1+_11・B深夜)),0)</f>
        <v>156</v>
      </c>
      <c r="V9" s="59"/>
    </row>
    <row r="10" spans="1:22" ht="16.5" customHeight="1" x14ac:dyDescent="0.2">
      <c r="A10" s="53">
        <v>16</v>
      </c>
      <c r="B10" s="53">
        <v>3550</v>
      </c>
      <c r="C10" s="69" t="s">
        <v>968</v>
      </c>
      <c r="D10" s="250"/>
      <c r="E10" s="94"/>
      <c r="F10" s="46"/>
      <c r="G10" s="250"/>
      <c r="H10" s="99">
        <f>_11_B通院１０．５＿０．５</f>
        <v>148</v>
      </c>
      <c r="I10" s="83" t="s">
        <v>394</v>
      </c>
      <c r="J10" s="242"/>
      <c r="K10" s="49"/>
      <c r="L10" s="50"/>
      <c r="M10" s="55" t="s">
        <v>396</v>
      </c>
      <c r="N10" s="56" t="s">
        <v>397</v>
      </c>
      <c r="O10" s="57">
        <v>1</v>
      </c>
      <c r="P10" s="47"/>
      <c r="R10" s="63"/>
      <c r="S10" s="54"/>
      <c r="T10" s="49"/>
      <c r="U10" s="58">
        <f>+ROUND((ROUND((ROUND((_11_B通院１０．５＿０．５*_11・基礎１),0)*_11・２人),0)*(1+_11・B深夜)),0)</f>
        <v>156</v>
      </c>
      <c r="V10" s="59"/>
    </row>
    <row r="11" spans="1:22" ht="16.5" customHeight="1" x14ac:dyDescent="0.2">
      <c r="A11" s="53">
        <v>16</v>
      </c>
      <c r="B11" s="53">
        <v>3551</v>
      </c>
      <c r="C11" s="69" t="s">
        <v>969</v>
      </c>
      <c r="D11" s="102"/>
      <c r="E11" s="67"/>
      <c r="G11" s="102"/>
      <c r="H11" s="243" t="s">
        <v>1987</v>
      </c>
      <c r="I11" s="244"/>
      <c r="J11" s="60"/>
      <c r="K11" s="60"/>
      <c r="L11" s="61"/>
      <c r="M11" s="55"/>
      <c r="N11" s="56"/>
      <c r="O11" s="57"/>
      <c r="P11" s="47"/>
      <c r="R11" s="63"/>
      <c r="S11" s="62"/>
      <c r="T11" s="60"/>
      <c r="U11" s="58">
        <f>+ROUND((_11_B通院１０．５＿１．０*(1+_11・B深夜)),0)</f>
        <v>497</v>
      </c>
      <c r="V11" s="59"/>
    </row>
    <row r="12" spans="1:22" ht="16.5" customHeight="1" x14ac:dyDescent="0.2">
      <c r="A12" s="53">
        <v>16</v>
      </c>
      <c r="B12" s="53">
        <v>3552</v>
      </c>
      <c r="C12" s="69" t="s">
        <v>970</v>
      </c>
      <c r="D12" s="102"/>
      <c r="E12" s="67"/>
      <c r="G12" s="102"/>
      <c r="H12" s="245"/>
      <c r="I12" s="246"/>
      <c r="J12" s="49"/>
      <c r="K12" s="49"/>
      <c r="L12" s="50"/>
      <c r="M12" s="55" t="s">
        <v>396</v>
      </c>
      <c r="N12" s="56" t="s">
        <v>397</v>
      </c>
      <c r="O12" s="57">
        <v>1</v>
      </c>
      <c r="P12" s="47"/>
      <c r="R12" s="63"/>
      <c r="S12" s="47"/>
      <c r="U12" s="58">
        <f>+ROUND((ROUND((_11_B通院１０．５＿１．０*_11・２人),0)*(1+_11・B深夜)),0)</f>
        <v>497</v>
      </c>
      <c r="V12" s="59"/>
    </row>
    <row r="13" spans="1:22" ht="16.5" customHeight="1" x14ac:dyDescent="0.2">
      <c r="A13" s="53">
        <v>16</v>
      </c>
      <c r="B13" s="53">
        <v>3553</v>
      </c>
      <c r="C13" s="69" t="s">
        <v>971</v>
      </c>
      <c r="D13" s="102"/>
      <c r="E13" s="67"/>
      <c r="G13" s="102"/>
      <c r="H13" s="245"/>
      <c r="I13" s="246"/>
      <c r="J13" s="251" t="s">
        <v>398</v>
      </c>
      <c r="K13" s="60" t="s">
        <v>397</v>
      </c>
      <c r="L13" s="61">
        <v>0.7</v>
      </c>
      <c r="M13" s="55"/>
      <c r="N13" s="56"/>
      <c r="O13" s="57"/>
      <c r="P13" s="47"/>
      <c r="R13" s="63"/>
      <c r="S13" s="47"/>
      <c r="U13" s="58">
        <f>+ROUND((ROUND((_11_B通院１０．５＿１．０*_11・基礎１),0)*(1+_11・B深夜)),0)</f>
        <v>348</v>
      </c>
      <c r="V13" s="59"/>
    </row>
    <row r="14" spans="1:22" ht="16.5" customHeight="1" x14ac:dyDescent="0.2">
      <c r="A14" s="53">
        <v>16</v>
      </c>
      <c r="B14" s="53">
        <v>3554</v>
      </c>
      <c r="C14" s="69" t="s">
        <v>972</v>
      </c>
      <c r="D14" s="102"/>
      <c r="E14" s="67"/>
      <c r="G14" s="102"/>
      <c r="H14" s="84">
        <f>_11_B通院１０．５＿１．０</f>
        <v>331</v>
      </c>
      <c r="I14" s="25" t="s">
        <v>394</v>
      </c>
      <c r="J14" s="242"/>
      <c r="K14" s="49"/>
      <c r="L14" s="50"/>
      <c r="M14" s="55" t="s">
        <v>396</v>
      </c>
      <c r="N14" s="56" t="s">
        <v>397</v>
      </c>
      <c r="O14" s="57">
        <v>1</v>
      </c>
      <c r="P14" s="47"/>
      <c r="R14" s="63"/>
      <c r="S14" s="54"/>
      <c r="T14" s="49"/>
      <c r="U14" s="58">
        <f>+ROUND((ROUND((ROUND((_11_B通院１０．５＿１．０*_11・基礎１),0)*_11・２人),0)*(1+_11・B深夜)),0)</f>
        <v>348</v>
      </c>
      <c r="V14" s="59"/>
    </row>
    <row r="15" spans="1:22" ht="16.5" customHeight="1" x14ac:dyDescent="0.2">
      <c r="A15" s="53">
        <v>16</v>
      </c>
      <c r="B15" s="53">
        <v>3555</v>
      </c>
      <c r="C15" s="69" t="s">
        <v>973</v>
      </c>
      <c r="D15" s="102"/>
      <c r="E15" s="67"/>
      <c r="G15" s="102"/>
      <c r="H15" s="243" t="s">
        <v>1988</v>
      </c>
      <c r="I15" s="244"/>
      <c r="J15" s="62"/>
      <c r="K15" s="60"/>
      <c r="L15" s="61"/>
      <c r="M15" s="55"/>
      <c r="N15" s="56"/>
      <c r="O15" s="57"/>
      <c r="P15" s="47"/>
      <c r="R15" s="63"/>
      <c r="S15" s="62"/>
      <c r="T15" s="60"/>
      <c r="U15" s="58">
        <f>+ROUND((_11_B通院１０．５＿１．５*(1+_11・B深夜)),0)</f>
        <v>620</v>
      </c>
      <c r="V15" s="59"/>
    </row>
    <row r="16" spans="1:22" ht="16.5" customHeight="1" x14ac:dyDescent="0.2">
      <c r="A16" s="53">
        <v>16</v>
      </c>
      <c r="B16" s="53">
        <v>3556</v>
      </c>
      <c r="C16" s="69" t="s">
        <v>974</v>
      </c>
      <c r="D16" s="102"/>
      <c r="E16" s="67"/>
      <c r="G16" s="102"/>
      <c r="H16" s="245"/>
      <c r="I16" s="246"/>
      <c r="J16" s="54"/>
      <c r="K16" s="49"/>
      <c r="L16" s="50"/>
      <c r="M16" s="55" t="s">
        <v>396</v>
      </c>
      <c r="N16" s="56" t="s">
        <v>397</v>
      </c>
      <c r="O16" s="57">
        <v>1</v>
      </c>
      <c r="P16" s="47"/>
      <c r="R16" s="63"/>
      <c r="S16" s="47"/>
      <c r="U16" s="58">
        <f>+ROUND((ROUND((_11_B通院１０．５＿１．５*_11・２人),0)*(1+_11・B深夜)),0)</f>
        <v>620</v>
      </c>
      <c r="V16" s="59"/>
    </row>
    <row r="17" spans="1:22" ht="16.5" customHeight="1" x14ac:dyDescent="0.2">
      <c r="A17" s="53">
        <v>16</v>
      </c>
      <c r="B17" s="53">
        <v>3557</v>
      </c>
      <c r="C17" s="69" t="s">
        <v>975</v>
      </c>
      <c r="D17" s="102"/>
      <c r="E17" s="67"/>
      <c r="G17" s="102"/>
      <c r="H17" s="245"/>
      <c r="I17" s="246"/>
      <c r="J17" s="241" t="s">
        <v>398</v>
      </c>
      <c r="K17" s="60" t="s">
        <v>397</v>
      </c>
      <c r="L17" s="61">
        <v>0.7</v>
      </c>
      <c r="M17" s="55"/>
      <c r="N17" s="56"/>
      <c r="O17" s="57"/>
      <c r="P17" s="47"/>
      <c r="R17" s="63"/>
      <c r="S17" s="47"/>
      <c r="U17" s="58">
        <f>+ROUND((ROUND((_11_B通院１０．５＿１．５*_11・基礎１),0)*(1+_11・B深夜)),0)</f>
        <v>434</v>
      </c>
      <c r="V17" s="59"/>
    </row>
    <row r="18" spans="1:22" ht="16.5" customHeight="1" x14ac:dyDescent="0.2">
      <c r="A18" s="53">
        <v>16</v>
      </c>
      <c r="B18" s="53">
        <v>3558</v>
      </c>
      <c r="C18" s="69" t="s">
        <v>976</v>
      </c>
      <c r="D18" s="102"/>
      <c r="E18" s="67"/>
      <c r="G18" s="102"/>
      <c r="H18" s="84">
        <f>_11_B通院１０．５＿１．５</f>
        <v>413</v>
      </c>
      <c r="I18" s="25" t="s">
        <v>394</v>
      </c>
      <c r="J18" s="242"/>
      <c r="K18" s="49"/>
      <c r="L18" s="50"/>
      <c r="M18" s="55" t="s">
        <v>396</v>
      </c>
      <c r="N18" s="56" t="s">
        <v>397</v>
      </c>
      <c r="O18" s="57">
        <v>1</v>
      </c>
      <c r="P18" s="47"/>
      <c r="R18" s="63"/>
      <c r="S18" s="54"/>
      <c r="T18" s="49"/>
      <c r="U18" s="58">
        <f>+ROUND((ROUND((ROUND((_11_B通院１０．５＿１．５*_11・基礎１),0)*_11・２人),0)*(1+_11・B深夜)),0)</f>
        <v>434</v>
      </c>
      <c r="V18" s="59"/>
    </row>
    <row r="19" spans="1:22" ht="16.5" customHeight="1" x14ac:dyDescent="0.2">
      <c r="A19" s="53">
        <v>16</v>
      </c>
      <c r="B19" s="53">
        <v>3559</v>
      </c>
      <c r="C19" s="69" t="s">
        <v>977</v>
      </c>
      <c r="D19" s="102"/>
      <c r="E19" s="67"/>
      <c r="G19" s="102"/>
      <c r="H19" s="243" t="s">
        <v>1989</v>
      </c>
      <c r="I19" s="244"/>
      <c r="J19" s="62"/>
      <c r="K19" s="60"/>
      <c r="L19" s="61"/>
      <c r="M19" s="55"/>
      <c r="N19" s="56"/>
      <c r="O19" s="57"/>
      <c r="P19" s="47"/>
      <c r="R19" s="63"/>
      <c r="S19" s="62"/>
      <c r="T19" s="60"/>
      <c r="U19" s="58">
        <f>+ROUND((_11_B通院１０．５＿２．０*(1+_11・B深夜)),0)</f>
        <v>747</v>
      </c>
      <c r="V19" s="59"/>
    </row>
    <row r="20" spans="1:22" ht="16.5" customHeight="1" x14ac:dyDescent="0.2">
      <c r="A20" s="53">
        <v>16</v>
      </c>
      <c r="B20" s="53">
        <v>3560</v>
      </c>
      <c r="C20" s="69" t="s">
        <v>978</v>
      </c>
      <c r="D20" s="102"/>
      <c r="E20" s="67"/>
      <c r="G20" s="102"/>
      <c r="H20" s="245"/>
      <c r="I20" s="246"/>
      <c r="J20" s="54"/>
      <c r="K20" s="49"/>
      <c r="L20" s="50"/>
      <c r="M20" s="55" t="s">
        <v>396</v>
      </c>
      <c r="N20" s="56" t="s">
        <v>397</v>
      </c>
      <c r="O20" s="57">
        <v>1</v>
      </c>
      <c r="P20" s="47"/>
      <c r="R20" s="63"/>
      <c r="S20" s="47"/>
      <c r="U20" s="58">
        <f>+ROUND((ROUND((_11_B通院１０．５＿２．０*_11・２人),0)*(1+_11・B深夜)),0)</f>
        <v>747</v>
      </c>
      <c r="V20" s="59"/>
    </row>
    <row r="21" spans="1:22" ht="16.5" customHeight="1" x14ac:dyDescent="0.2">
      <c r="A21" s="53">
        <v>16</v>
      </c>
      <c r="B21" s="53">
        <v>3561</v>
      </c>
      <c r="C21" s="69" t="s">
        <v>979</v>
      </c>
      <c r="D21" s="102"/>
      <c r="E21" s="67"/>
      <c r="G21" s="102"/>
      <c r="H21" s="245"/>
      <c r="I21" s="246"/>
      <c r="J21" s="241" t="s">
        <v>398</v>
      </c>
      <c r="K21" s="60" t="s">
        <v>397</v>
      </c>
      <c r="L21" s="61">
        <v>0.7</v>
      </c>
      <c r="M21" s="55"/>
      <c r="N21" s="56"/>
      <c r="O21" s="57"/>
      <c r="P21" s="47"/>
      <c r="R21" s="63"/>
      <c r="S21" s="47"/>
      <c r="U21" s="58">
        <f>+ROUND((ROUND((_11_B通院１０．５＿２．０*_11・基礎１),0)*(1+_11・B深夜)),0)</f>
        <v>524</v>
      </c>
      <c r="V21" s="59"/>
    </row>
    <row r="22" spans="1:22" ht="16.5" customHeight="1" x14ac:dyDescent="0.2">
      <c r="A22" s="53">
        <v>16</v>
      </c>
      <c r="B22" s="53">
        <v>3562</v>
      </c>
      <c r="C22" s="69" t="s">
        <v>980</v>
      </c>
      <c r="D22" s="102"/>
      <c r="E22" s="67"/>
      <c r="G22" s="102"/>
      <c r="H22" s="84">
        <f>_11_B通院１０．５＿２．０</f>
        <v>498</v>
      </c>
      <c r="I22" s="25" t="s">
        <v>394</v>
      </c>
      <c r="J22" s="242"/>
      <c r="K22" s="49"/>
      <c r="L22" s="50"/>
      <c r="M22" s="55" t="s">
        <v>396</v>
      </c>
      <c r="N22" s="56" t="s">
        <v>397</v>
      </c>
      <c r="O22" s="57">
        <v>1</v>
      </c>
      <c r="P22" s="47"/>
      <c r="R22" s="63"/>
      <c r="S22" s="54"/>
      <c r="T22" s="49"/>
      <c r="U22" s="58">
        <f>+ROUND((ROUND((ROUND((_11_B通院１０．５＿２．０*_11・基礎１),0)*_11・２人),0)*(1+_11・B深夜)),0)</f>
        <v>524</v>
      </c>
      <c r="V22" s="59"/>
    </row>
    <row r="23" spans="1:22" ht="16.5" customHeight="1" x14ac:dyDescent="0.2">
      <c r="A23" s="53">
        <v>16</v>
      </c>
      <c r="B23" s="53">
        <v>3563</v>
      </c>
      <c r="C23" s="69" t="s">
        <v>981</v>
      </c>
      <c r="D23" s="102"/>
      <c r="E23" s="67"/>
      <c r="G23" s="102"/>
      <c r="H23" s="243" t="s">
        <v>1990</v>
      </c>
      <c r="I23" s="244"/>
      <c r="J23" s="62"/>
      <c r="K23" s="60"/>
      <c r="L23" s="61"/>
      <c r="M23" s="55"/>
      <c r="N23" s="56"/>
      <c r="O23" s="57"/>
      <c r="P23" s="47"/>
      <c r="R23" s="63"/>
      <c r="S23" s="62"/>
      <c r="T23" s="60"/>
      <c r="U23" s="58">
        <f>+ROUND((_11_B通院１０．５＿２．５*(1+_11・B深夜)),0)</f>
        <v>872</v>
      </c>
      <c r="V23" s="59"/>
    </row>
    <row r="24" spans="1:22" ht="16.5" customHeight="1" x14ac:dyDescent="0.2">
      <c r="A24" s="53">
        <v>16</v>
      </c>
      <c r="B24" s="53">
        <v>3564</v>
      </c>
      <c r="C24" s="69" t="s">
        <v>982</v>
      </c>
      <c r="D24" s="102"/>
      <c r="E24" s="67"/>
      <c r="G24" s="102"/>
      <c r="H24" s="245"/>
      <c r="I24" s="246"/>
      <c r="J24" s="54"/>
      <c r="K24" s="49"/>
      <c r="L24" s="50"/>
      <c r="M24" s="55" t="s">
        <v>396</v>
      </c>
      <c r="N24" s="56" t="s">
        <v>397</v>
      </c>
      <c r="O24" s="57">
        <v>1</v>
      </c>
      <c r="P24" s="47"/>
      <c r="R24" s="63"/>
      <c r="S24" s="47"/>
      <c r="U24" s="58">
        <f>+ROUND((ROUND((_11_B通院１０．５＿２．５*_11・２人),0)*(1+_11・B深夜)),0)</f>
        <v>872</v>
      </c>
      <c r="V24" s="59"/>
    </row>
    <row r="25" spans="1:22" ht="16.5" customHeight="1" x14ac:dyDescent="0.2">
      <c r="A25" s="53">
        <v>16</v>
      </c>
      <c r="B25" s="53">
        <v>3565</v>
      </c>
      <c r="C25" s="69" t="s">
        <v>983</v>
      </c>
      <c r="D25" s="102"/>
      <c r="E25" s="67"/>
      <c r="G25" s="102"/>
      <c r="H25" s="245"/>
      <c r="I25" s="246"/>
      <c r="J25" s="241" t="s">
        <v>398</v>
      </c>
      <c r="K25" s="60" t="s">
        <v>397</v>
      </c>
      <c r="L25" s="61">
        <v>0.7</v>
      </c>
      <c r="M25" s="55"/>
      <c r="N25" s="56"/>
      <c r="O25" s="57"/>
      <c r="P25" s="47"/>
      <c r="R25" s="63"/>
      <c r="S25" s="47"/>
      <c r="U25" s="58">
        <f>+ROUND((ROUND((_11_B通院１０．５＿２．５*_11・基礎１),0)*(1+_11・B深夜)),0)</f>
        <v>611</v>
      </c>
      <c r="V25" s="59"/>
    </row>
    <row r="26" spans="1:22" ht="16.5" customHeight="1" x14ac:dyDescent="0.2">
      <c r="A26" s="53">
        <v>16</v>
      </c>
      <c r="B26" s="53">
        <v>3566</v>
      </c>
      <c r="C26" s="69" t="s">
        <v>984</v>
      </c>
      <c r="D26" s="102"/>
      <c r="E26" s="67"/>
      <c r="G26" s="102"/>
      <c r="H26" s="84">
        <f>_11_B通院１０．５＿２．５</f>
        <v>581</v>
      </c>
      <c r="I26" s="25" t="s">
        <v>394</v>
      </c>
      <c r="J26" s="242"/>
      <c r="K26" s="49"/>
      <c r="L26" s="50"/>
      <c r="M26" s="55" t="s">
        <v>396</v>
      </c>
      <c r="N26" s="56" t="s">
        <v>397</v>
      </c>
      <c r="O26" s="57">
        <v>1</v>
      </c>
      <c r="P26" s="47"/>
      <c r="R26" s="63"/>
      <c r="S26" s="54"/>
      <c r="T26" s="49"/>
      <c r="U26" s="58">
        <f>+ROUND((ROUND((ROUND((_11_B通院１０．５＿２．５*_11・基礎１),0)*_11・２人),0)*(1+_11・B深夜)),0)</f>
        <v>611</v>
      </c>
      <c r="V26" s="59"/>
    </row>
    <row r="27" spans="1:22" ht="16.5" customHeight="1" x14ac:dyDescent="0.2">
      <c r="A27" s="53">
        <v>16</v>
      </c>
      <c r="B27" s="53">
        <v>3567</v>
      </c>
      <c r="C27" s="69" t="s">
        <v>985</v>
      </c>
      <c r="D27" s="102"/>
      <c r="E27" s="243" t="s">
        <v>1958</v>
      </c>
      <c r="F27" s="244"/>
      <c r="G27" s="102"/>
      <c r="H27" s="243" t="s">
        <v>1986</v>
      </c>
      <c r="I27" s="244"/>
      <c r="J27" s="62"/>
      <c r="K27" s="60"/>
      <c r="L27" s="61"/>
      <c r="M27" s="55"/>
      <c r="N27" s="56"/>
      <c r="O27" s="57"/>
      <c r="P27" s="47"/>
      <c r="R27" s="63"/>
      <c r="S27" s="62"/>
      <c r="T27" s="60"/>
      <c r="U27" s="58">
        <f>+ROUND((_11_B通院１１．０＿０．５*(1+_11・B深夜)),0)</f>
        <v>275</v>
      </c>
      <c r="V27" s="59"/>
    </row>
    <row r="28" spans="1:22" ht="16.5" customHeight="1" x14ac:dyDescent="0.2">
      <c r="A28" s="53">
        <v>16</v>
      </c>
      <c r="B28" s="53">
        <v>3568</v>
      </c>
      <c r="C28" s="69" t="s">
        <v>986</v>
      </c>
      <c r="D28" s="102"/>
      <c r="E28" s="245"/>
      <c r="F28" s="246"/>
      <c r="G28" s="102"/>
      <c r="H28" s="245"/>
      <c r="I28" s="246"/>
      <c r="J28" s="54"/>
      <c r="K28" s="49"/>
      <c r="L28" s="50"/>
      <c r="M28" s="55" t="s">
        <v>396</v>
      </c>
      <c r="N28" s="56" t="s">
        <v>397</v>
      </c>
      <c r="O28" s="57">
        <v>1</v>
      </c>
      <c r="P28" s="47"/>
      <c r="R28" s="63"/>
      <c r="S28" s="47"/>
      <c r="U28" s="58">
        <f>+ROUND((ROUND((_11_B通院１１．０＿０．５*_11・２人),0)*(1+_11・B深夜)),0)</f>
        <v>275</v>
      </c>
      <c r="V28" s="59"/>
    </row>
    <row r="29" spans="1:22" ht="16.5" customHeight="1" x14ac:dyDescent="0.2">
      <c r="A29" s="53">
        <v>16</v>
      </c>
      <c r="B29" s="53">
        <v>3569</v>
      </c>
      <c r="C29" s="69" t="s">
        <v>987</v>
      </c>
      <c r="D29" s="102"/>
      <c r="E29" s="245"/>
      <c r="F29" s="246"/>
      <c r="G29" s="102"/>
      <c r="H29" s="245"/>
      <c r="I29" s="246"/>
      <c r="J29" s="241" t="s">
        <v>398</v>
      </c>
      <c r="K29" s="60" t="s">
        <v>397</v>
      </c>
      <c r="L29" s="61">
        <v>0.7</v>
      </c>
      <c r="M29" s="55"/>
      <c r="N29" s="56"/>
      <c r="O29" s="57"/>
      <c r="P29" s="47"/>
      <c r="R29" s="63"/>
      <c r="S29" s="47"/>
      <c r="U29" s="58">
        <f>+ROUND((ROUND((_11_B通院１１．０＿０．５*_11・基礎１),0)*(1+_11・B深夜)),0)</f>
        <v>192</v>
      </c>
      <c r="V29" s="59"/>
    </row>
    <row r="30" spans="1:22" ht="16.5" customHeight="1" x14ac:dyDescent="0.2">
      <c r="A30" s="53">
        <v>16</v>
      </c>
      <c r="B30" s="53">
        <v>3570</v>
      </c>
      <c r="C30" s="69" t="s">
        <v>988</v>
      </c>
      <c r="D30" s="102"/>
      <c r="E30" s="94"/>
      <c r="F30" s="46"/>
      <c r="G30" s="102"/>
      <c r="H30" s="84">
        <f>_11_B通院１１．０＿０．５</f>
        <v>183</v>
      </c>
      <c r="I30" s="25" t="s">
        <v>394</v>
      </c>
      <c r="J30" s="242"/>
      <c r="K30" s="49"/>
      <c r="L30" s="50"/>
      <c r="M30" s="55" t="s">
        <v>396</v>
      </c>
      <c r="N30" s="56" t="s">
        <v>397</v>
      </c>
      <c r="O30" s="57">
        <v>1</v>
      </c>
      <c r="P30" s="47"/>
      <c r="R30" s="63"/>
      <c r="S30" s="54"/>
      <c r="T30" s="49"/>
      <c r="U30" s="58">
        <f>+ROUND((ROUND((ROUND((_11_B通院１１．０＿０．５*_11・基礎１),0)*_11・２人),0)*(1+_11・B深夜)),0)</f>
        <v>192</v>
      </c>
      <c r="V30" s="59"/>
    </row>
    <row r="31" spans="1:22" ht="16.5" customHeight="1" x14ac:dyDescent="0.2">
      <c r="A31" s="53">
        <v>16</v>
      </c>
      <c r="B31" s="53">
        <v>3571</v>
      </c>
      <c r="C31" s="69" t="s">
        <v>989</v>
      </c>
      <c r="D31" s="102"/>
      <c r="E31" s="67"/>
      <c r="G31" s="102"/>
      <c r="H31" s="243" t="s">
        <v>1987</v>
      </c>
      <c r="I31" s="244"/>
      <c r="J31" s="62"/>
      <c r="K31" s="60"/>
      <c r="L31" s="61"/>
      <c r="M31" s="55"/>
      <c r="N31" s="56"/>
      <c r="O31" s="57"/>
      <c r="P31" s="47"/>
      <c r="R31" s="63"/>
      <c r="S31" s="62"/>
      <c r="T31" s="60"/>
      <c r="U31" s="58">
        <f>+ROUND((_11_B通院１１．０＿１．０*(1+_11・B深夜)),0)</f>
        <v>398</v>
      </c>
      <c r="V31" s="59"/>
    </row>
    <row r="32" spans="1:22" ht="16.5" customHeight="1" x14ac:dyDescent="0.2">
      <c r="A32" s="53">
        <v>16</v>
      </c>
      <c r="B32" s="53">
        <v>3572</v>
      </c>
      <c r="C32" s="69" t="s">
        <v>990</v>
      </c>
      <c r="D32" s="102"/>
      <c r="E32" s="67"/>
      <c r="G32" s="102"/>
      <c r="H32" s="245"/>
      <c r="I32" s="246"/>
      <c r="J32" s="54"/>
      <c r="K32" s="49"/>
      <c r="L32" s="50"/>
      <c r="M32" s="55" t="s">
        <v>396</v>
      </c>
      <c r="N32" s="56" t="s">
        <v>397</v>
      </c>
      <c r="O32" s="57">
        <v>1</v>
      </c>
      <c r="P32" s="47"/>
      <c r="R32" s="63"/>
      <c r="S32" s="47"/>
      <c r="U32" s="58">
        <f>+ROUND((ROUND((_11_B通院１１．０＿１．０*_11・２人),0)*(1+_11・B深夜)),0)</f>
        <v>398</v>
      </c>
      <c r="V32" s="59"/>
    </row>
    <row r="33" spans="1:22" ht="16.5" customHeight="1" x14ac:dyDescent="0.2">
      <c r="A33" s="53">
        <v>16</v>
      </c>
      <c r="B33" s="53">
        <v>3573</v>
      </c>
      <c r="C33" s="69" t="s">
        <v>991</v>
      </c>
      <c r="D33" s="102"/>
      <c r="E33" s="67"/>
      <c r="G33" s="102"/>
      <c r="H33" s="245"/>
      <c r="I33" s="246"/>
      <c r="J33" s="241" t="s">
        <v>398</v>
      </c>
      <c r="K33" s="60" t="s">
        <v>397</v>
      </c>
      <c r="L33" s="61">
        <v>0.7</v>
      </c>
      <c r="M33" s="55"/>
      <c r="N33" s="56"/>
      <c r="O33" s="57"/>
      <c r="P33" s="47"/>
      <c r="R33" s="63"/>
      <c r="S33" s="47"/>
      <c r="U33" s="58">
        <f>+ROUND((ROUND((_11_B通院１１．０＿１．０*_11・基礎１),0)*(1+_11・B深夜)),0)</f>
        <v>279</v>
      </c>
      <c r="V33" s="59"/>
    </row>
    <row r="34" spans="1:22" ht="16.5" customHeight="1" x14ac:dyDescent="0.2">
      <c r="A34" s="53">
        <v>16</v>
      </c>
      <c r="B34" s="53">
        <v>3574</v>
      </c>
      <c r="C34" s="69" t="s">
        <v>992</v>
      </c>
      <c r="D34" s="102"/>
      <c r="E34" s="67"/>
      <c r="G34" s="102"/>
      <c r="H34" s="84">
        <f>_11_B通院１１．０＿１．０</f>
        <v>265</v>
      </c>
      <c r="I34" s="25" t="s">
        <v>394</v>
      </c>
      <c r="J34" s="242"/>
      <c r="K34" s="49"/>
      <c r="L34" s="50"/>
      <c r="M34" s="55" t="s">
        <v>396</v>
      </c>
      <c r="N34" s="56" t="s">
        <v>397</v>
      </c>
      <c r="O34" s="57">
        <v>1</v>
      </c>
      <c r="P34" s="47"/>
      <c r="R34" s="63"/>
      <c r="S34" s="54"/>
      <c r="T34" s="49"/>
      <c r="U34" s="58">
        <f>+ROUND((ROUND((ROUND((_11_B通院１１．０＿１．０*_11・基礎１),0)*_11・２人),0)*(1+_11・B深夜)),0)</f>
        <v>279</v>
      </c>
      <c r="V34" s="59"/>
    </row>
    <row r="35" spans="1:22" ht="16.5" customHeight="1" x14ac:dyDescent="0.2">
      <c r="A35" s="53">
        <v>16</v>
      </c>
      <c r="B35" s="53">
        <v>3575</v>
      </c>
      <c r="C35" s="69" t="s">
        <v>993</v>
      </c>
      <c r="D35" s="102"/>
      <c r="E35" s="67"/>
      <c r="G35" s="102"/>
      <c r="H35" s="243" t="s">
        <v>1988</v>
      </c>
      <c r="I35" s="244"/>
      <c r="J35" s="62"/>
      <c r="K35" s="60"/>
      <c r="L35" s="61"/>
      <c r="M35" s="55"/>
      <c r="N35" s="56"/>
      <c r="O35" s="57"/>
      <c r="P35" s="47"/>
      <c r="R35" s="63"/>
      <c r="S35" s="62"/>
      <c r="T35" s="60"/>
      <c r="U35" s="58">
        <f>+ROUND((_11_B通院１１．０＿１．５*(1+_11・B深夜)),0)</f>
        <v>525</v>
      </c>
      <c r="V35" s="59"/>
    </row>
    <row r="36" spans="1:22" ht="16.5" customHeight="1" x14ac:dyDescent="0.2">
      <c r="A36" s="53">
        <v>16</v>
      </c>
      <c r="B36" s="53">
        <v>3576</v>
      </c>
      <c r="C36" s="69" t="s">
        <v>994</v>
      </c>
      <c r="D36" s="102"/>
      <c r="E36" s="67"/>
      <c r="G36" s="102"/>
      <c r="H36" s="245"/>
      <c r="I36" s="246"/>
      <c r="J36" s="54"/>
      <c r="K36" s="49"/>
      <c r="L36" s="50"/>
      <c r="M36" s="55" t="s">
        <v>396</v>
      </c>
      <c r="N36" s="56" t="s">
        <v>397</v>
      </c>
      <c r="O36" s="57">
        <v>1</v>
      </c>
      <c r="P36" s="47"/>
      <c r="R36" s="63"/>
      <c r="S36" s="47"/>
      <c r="U36" s="58">
        <f>+ROUND((ROUND((_11_B通院１１．０＿１．５*_11・２人),0)*(1+_11・B深夜)),0)</f>
        <v>525</v>
      </c>
      <c r="V36" s="59"/>
    </row>
    <row r="37" spans="1:22" ht="16.5" customHeight="1" x14ac:dyDescent="0.2">
      <c r="A37" s="53">
        <v>16</v>
      </c>
      <c r="B37" s="53">
        <v>3577</v>
      </c>
      <c r="C37" s="69" t="s">
        <v>995</v>
      </c>
      <c r="D37" s="102"/>
      <c r="E37" s="67"/>
      <c r="G37" s="102"/>
      <c r="H37" s="245"/>
      <c r="I37" s="246"/>
      <c r="J37" s="241" t="s">
        <v>398</v>
      </c>
      <c r="K37" s="60" t="s">
        <v>397</v>
      </c>
      <c r="L37" s="61">
        <v>0.7</v>
      </c>
      <c r="M37" s="55"/>
      <c r="N37" s="56"/>
      <c r="O37" s="57"/>
      <c r="P37" s="47"/>
      <c r="R37" s="63"/>
      <c r="S37" s="47"/>
      <c r="U37" s="58">
        <f>+ROUND((ROUND((_11_B通院１１．０＿１．５*_11・基礎１),0)*(1+_11・B深夜)),0)</f>
        <v>368</v>
      </c>
      <c r="V37" s="59"/>
    </row>
    <row r="38" spans="1:22" ht="16.5" customHeight="1" x14ac:dyDescent="0.2">
      <c r="A38" s="53">
        <v>16</v>
      </c>
      <c r="B38" s="53">
        <v>3578</v>
      </c>
      <c r="C38" s="69" t="s">
        <v>996</v>
      </c>
      <c r="D38" s="102"/>
      <c r="E38" s="67"/>
      <c r="G38" s="102"/>
      <c r="H38" s="84">
        <f>_11_B通院１１．０＿１．５</f>
        <v>350</v>
      </c>
      <c r="I38" s="25" t="s">
        <v>394</v>
      </c>
      <c r="J38" s="242"/>
      <c r="K38" s="49"/>
      <c r="L38" s="50"/>
      <c r="M38" s="55" t="s">
        <v>396</v>
      </c>
      <c r="N38" s="56" t="s">
        <v>397</v>
      </c>
      <c r="O38" s="57">
        <v>1</v>
      </c>
      <c r="P38" s="47"/>
      <c r="R38" s="63"/>
      <c r="S38" s="54"/>
      <c r="T38" s="49"/>
      <c r="U38" s="58">
        <f>+ROUND((ROUND((ROUND((_11_B通院１１．０＿１．５*_11・基礎１),0)*_11・２人),0)*(1+_11・B深夜)),0)</f>
        <v>368</v>
      </c>
      <c r="V38" s="59"/>
    </row>
    <row r="39" spans="1:22" ht="16.5" customHeight="1" x14ac:dyDescent="0.2">
      <c r="A39" s="53">
        <v>16</v>
      </c>
      <c r="B39" s="53">
        <v>3579</v>
      </c>
      <c r="C39" s="69" t="s">
        <v>997</v>
      </c>
      <c r="D39" s="102"/>
      <c r="E39" s="67"/>
      <c r="G39" s="102"/>
      <c r="H39" s="243" t="s">
        <v>1989</v>
      </c>
      <c r="I39" s="244"/>
      <c r="J39" s="62"/>
      <c r="K39" s="60"/>
      <c r="L39" s="61"/>
      <c r="M39" s="55"/>
      <c r="N39" s="56"/>
      <c r="O39" s="57"/>
      <c r="P39" s="47"/>
      <c r="R39" s="63"/>
      <c r="S39" s="62"/>
      <c r="T39" s="60"/>
      <c r="U39" s="58">
        <f>+ROUND((_11_B通院１１．０＿２．０*(1+_11・B深夜)),0)</f>
        <v>650</v>
      </c>
      <c r="V39" s="59"/>
    </row>
    <row r="40" spans="1:22" ht="16.5" customHeight="1" x14ac:dyDescent="0.2">
      <c r="A40" s="53">
        <v>16</v>
      </c>
      <c r="B40" s="53">
        <v>3580</v>
      </c>
      <c r="C40" s="69" t="s">
        <v>998</v>
      </c>
      <c r="D40" s="102"/>
      <c r="E40" s="67"/>
      <c r="G40" s="102"/>
      <c r="H40" s="245"/>
      <c r="I40" s="246"/>
      <c r="J40" s="54"/>
      <c r="K40" s="49"/>
      <c r="L40" s="50"/>
      <c r="M40" s="55" t="s">
        <v>396</v>
      </c>
      <c r="N40" s="56" t="s">
        <v>397</v>
      </c>
      <c r="O40" s="57">
        <v>1</v>
      </c>
      <c r="P40" s="47"/>
      <c r="R40" s="63"/>
      <c r="S40" s="47"/>
      <c r="U40" s="58">
        <f>+ROUND((ROUND((_11_B通院１１．０＿２．０*_11・２人),0)*(1+_11・B深夜)),0)</f>
        <v>650</v>
      </c>
      <c r="V40" s="59"/>
    </row>
    <row r="41" spans="1:22" ht="16.5" customHeight="1" x14ac:dyDescent="0.2">
      <c r="A41" s="53">
        <v>16</v>
      </c>
      <c r="B41" s="53">
        <v>3581</v>
      </c>
      <c r="C41" s="69" t="s">
        <v>999</v>
      </c>
      <c r="D41" s="102"/>
      <c r="E41" s="67"/>
      <c r="G41" s="102"/>
      <c r="H41" s="245"/>
      <c r="I41" s="246"/>
      <c r="J41" s="241" t="s">
        <v>398</v>
      </c>
      <c r="K41" s="60" t="s">
        <v>397</v>
      </c>
      <c r="L41" s="61">
        <v>0.7</v>
      </c>
      <c r="M41" s="55"/>
      <c r="N41" s="56"/>
      <c r="O41" s="57"/>
      <c r="P41" s="47"/>
      <c r="R41" s="63"/>
      <c r="S41" s="47"/>
      <c r="U41" s="58">
        <f>+ROUND((ROUND((_11_B通院１１．０＿２．０*_11・基礎１),0)*(1+_11・B深夜)),0)</f>
        <v>455</v>
      </c>
      <c r="V41" s="59"/>
    </row>
    <row r="42" spans="1:22" ht="16.5" customHeight="1" x14ac:dyDescent="0.2">
      <c r="A42" s="53">
        <v>16</v>
      </c>
      <c r="B42" s="53">
        <v>3582</v>
      </c>
      <c r="C42" s="69" t="s">
        <v>1000</v>
      </c>
      <c r="D42" s="102"/>
      <c r="E42" s="67"/>
      <c r="G42" s="102"/>
      <c r="H42" s="84">
        <f>_11_B通院１１．０＿２．０</f>
        <v>433</v>
      </c>
      <c r="I42" s="25" t="s">
        <v>394</v>
      </c>
      <c r="J42" s="242"/>
      <c r="K42" s="49"/>
      <c r="L42" s="50"/>
      <c r="M42" s="55" t="s">
        <v>396</v>
      </c>
      <c r="N42" s="56" t="s">
        <v>397</v>
      </c>
      <c r="O42" s="57">
        <v>1</v>
      </c>
      <c r="P42" s="47"/>
      <c r="R42" s="63"/>
      <c r="S42" s="54"/>
      <c r="T42" s="49"/>
      <c r="U42" s="58">
        <f>+ROUND((ROUND((ROUND((_11_B通院１１．０＿２．０*_11・基礎１),0)*_11・２人),0)*(1+_11・B深夜)),0)</f>
        <v>455</v>
      </c>
      <c r="V42" s="59"/>
    </row>
    <row r="43" spans="1:22" ht="16.5" customHeight="1" x14ac:dyDescent="0.2">
      <c r="A43" s="53">
        <v>16</v>
      </c>
      <c r="B43" s="53">
        <v>3583</v>
      </c>
      <c r="C43" s="69" t="s">
        <v>1001</v>
      </c>
      <c r="D43" s="249" t="s">
        <v>410</v>
      </c>
      <c r="E43" s="243" t="s">
        <v>1959</v>
      </c>
      <c r="F43" s="244"/>
      <c r="G43" s="249" t="s">
        <v>411</v>
      </c>
      <c r="H43" s="243" t="s">
        <v>1986</v>
      </c>
      <c r="I43" s="244"/>
      <c r="J43" s="62"/>
      <c r="K43" s="60"/>
      <c r="L43" s="61"/>
      <c r="M43" s="55"/>
      <c r="N43" s="56"/>
      <c r="O43" s="57"/>
      <c r="P43" s="67"/>
      <c r="Q43" s="176"/>
      <c r="R43" s="63"/>
      <c r="S43" s="62"/>
      <c r="T43" s="60"/>
      <c r="U43" s="58">
        <f>+ROUND((_11_B通院１１．５＿０．５*(1+_11・B深夜)),0)</f>
        <v>123</v>
      </c>
      <c r="V43" s="52"/>
    </row>
    <row r="44" spans="1:22" ht="16.5" customHeight="1" x14ac:dyDescent="0.2">
      <c r="A44" s="53">
        <v>16</v>
      </c>
      <c r="B44" s="53">
        <v>3584</v>
      </c>
      <c r="C44" s="69" t="s">
        <v>1002</v>
      </c>
      <c r="D44" s="250"/>
      <c r="E44" s="245"/>
      <c r="F44" s="246"/>
      <c r="G44" s="250"/>
      <c r="H44" s="245"/>
      <c r="I44" s="246"/>
      <c r="J44" s="54"/>
      <c r="K44" s="49"/>
      <c r="L44" s="50"/>
      <c r="M44" s="55" t="s">
        <v>396</v>
      </c>
      <c r="N44" s="56" t="s">
        <v>397</v>
      </c>
      <c r="O44" s="57">
        <v>1</v>
      </c>
      <c r="P44" s="47"/>
      <c r="R44" s="248"/>
      <c r="S44" s="47"/>
      <c r="U44" s="58">
        <f>+ROUND((ROUND((_11_B通院１１．５＿０．５*_11・２人),0)*(1+_11・B深夜)),0)</f>
        <v>123</v>
      </c>
      <c r="V44" s="59"/>
    </row>
    <row r="45" spans="1:22" ht="16.5" customHeight="1" x14ac:dyDescent="0.2">
      <c r="A45" s="53">
        <v>16</v>
      </c>
      <c r="B45" s="53">
        <v>3585</v>
      </c>
      <c r="C45" s="69" t="s">
        <v>1003</v>
      </c>
      <c r="D45" s="250"/>
      <c r="E45" s="245"/>
      <c r="F45" s="246"/>
      <c r="G45" s="250"/>
      <c r="H45" s="245"/>
      <c r="I45" s="246"/>
      <c r="J45" s="241" t="s">
        <v>398</v>
      </c>
      <c r="K45" s="60" t="s">
        <v>397</v>
      </c>
      <c r="L45" s="61">
        <v>0.7</v>
      </c>
      <c r="M45" s="55"/>
      <c r="N45" s="56"/>
      <c r="O45" s="57"/>
      <c r="P45" s="47"/>
      <c r="R45" s="248"/>
      <c r="S45" s="47"/>
      <c r="U45" s="58">
        <f>+ROUND((ROUND((_11_B通院１１．５＿０．５*_11・基礎１),0)*(1+_11・B深夜)),0)</f>
        <v>86</v>
      </c>
      <c r="V45" s="59"/>
    </row>
    <row r="46" spans="1:22" ht="16.5" customHeight="1" x14ac:dyDescent="0.2">
      <c r="A46" s="53">
        <v>16</v>
      </c>
      <c r="B46" s="53">
        <v>3586</v>
      </c>
      <c r="C46" s="69" t="s">
        <v>1004</v>
      </c>
      <c r="D46" s="250"/>
      <c r="E46" s="94"/>
      <c r="F46" s="46"/>
      <c r="G46" s="250"/>
      <c r="H46" s="84">
        <f>_11_B通院１１．５＿０．５</f>
        <v>82</v>
      </c>
      <c r="I46" s="25" t="s">
        <v>394</v>
      </c>
      <c r="J46" s="242"/>
      <c r="K46" s="49"/>
      <c r="L46" s="50"/>
      <c r="M46" s="55" t="s">
        <v>396</v>
      </c>
      <c r="N46" s="56" t="s">
        <v>397</v>
      </c>
      <c r="O46" s="57">
        <v>1</v>
      </c>
      <c r="P46" s="47"/>
      <c r="R46" s="63"/>
      <c r="S46" s="54"/>
      <c r="T46" s="49"/>
      <c r="U46" s="58">
        <f>+ROUND((ROUND((ROUND((_11_B通院１１．５＿０．５*_11・基礎１),0)*_11・２人),0)*(1+_11・B深夜)),0)</f>
        <v>86</v>
      </c>
      <c r="V46" s="59"/>
    </row>
    <row r="47" spans="1:22" ht="16.5" customHeight="1" x14ac:dyDescent="0.2">
      <c r="A47" s="53">
        <v>16</v>
      </c>
      <c r="B47" s="53">
        <v>3587</v>
      </c>
      <c r="C47" s="69" t="s">
        <v>1005</v>
      </c>
      <c r="D47" s="102"/>
      <c r="E47" s="67"/>
      <c r="G47" s="102"/>
      <c r="H47" s="243" t="s">
        <v>1987</v>
      </c>
      <c r="I47" s="244"/>
      <c r="J47" s="62"/>
      <c r="K47" s="60"/>
      <c r="L47" s="61"/>
      <c r="M47" s="55"/>
      <c r="N47" s="56"/>
      <c r="O47" s="57"/>
      <c r="P47" s="47"/>
      <c r="R47" s="63"/>
      <c r="S47" s="62"/>
      <c r="T47" s="60"/>
      <c r="U47" s="58">
        <f>+ROUND((_11_B通院１１．５＿１．０*(1+_11・B深夜)),0)</f>
        <v>251</v>
      </c>
      <c r="V47" s="59"/>
    </row>
    <row r="48" spans="1:22" ht="16.5" customHeight="1" x14ac:dyDescent="0.2">
      <c r="A48" s="53">
        <v>16</v>
      </c>
      <c r="B48" s="53">
        <v>3588</v>
      </c>
      <c r="C48" s="69" t="s">
        <v>1006</v>
      </c>
      <c r="D48" s="102"/>
      <c r="E48" s="67"/>
      <c r="G48" s="102"/>
      <c r="H48" s="245"/>
      <c r="I48" s="246"/>
      <c r="J48" s="54"/>
      <c r="K48" s="49"/>
      <c r="L48" s="50"/>
      <c r="M48" s="55" t="s">
        <v>396</v>
      </c>
      <c r="N48" s="56" t="s">
        <v>397</v>
      </c>
      <c r="O48" s="57">
        <v>1</v>
      </c>
      <c r="P48" s="47"/>
      <c r="R48" s="63"/>
      <c r="S48" s="47"/>
      <c r="U48" s="58">
        <f>+ROUND((ROUND((_11_B通院１１．５＿１．０*_11・２人),0)*(1+_11・B深夜)),0)</f>
        <v>251</v>
      </c>
      <c r="V48" s="59"/>
    </row>
    <row r="49" spans="1:22" ht="16.5" customHeight="1" x14ac:dyDescent="0.2">
      <c r="A49" s="53">
        <v>16</v>
      </c>
      <c r="B49" s="53">
        <v>3589</v>
      </c>
      <c r="C49" s="69" t="s">
        <v>1007</v>
      </c>
      <c r="D49" s="102"/>
      <c r="E49" s="67"/>
      <c r="G49" s="102"/>
      <c r="H49" s="245"/>
      <c r="I49" s="246"/>
      <c r="J49" s="241" t="s">
        <v>398</v>
      </c>
      <c r="K49" s="60" t="s">
        <v>397</v>
      </c>
      <c r="L49" s="61">
        <v>0.7</v>
      </c>
      <c r="M49" s="55"/>
      <c r="N49" s="56"/>
      <c r="O49" s="57"/>
      <c r="P49" s="47"/>
      <c r="R49" s="63"/>
      <c r="S49" s="47"/>
      <c r="U49" s="58">
        <f>+ROUND((ROUND((_11_B通院１１．５＿１．０*_11・基礎１),0)*(1+_11・B深夜)),0)</f>
        <v>176</v>
      </c>
      <c r="V49" s="59"/>
    </row>
    <row r="50" spans="1:22" ht="16.5" customHeight="1" x14ac:dyDescent="0.2">
      <c r="A50" s="53">
        <v>16</v>
      </c>
      <c r="B50" s="53">
        <v>3590</v>
      </c>
      <c r="C50" s="69" t="s">
        <v>1008</v>
      </c>
      <c r="D50" s="102"/>
      <c r="E50" s="67"/>
      <c r="G50" s="102"/>
      <c r="H50" s="84">
        <f>_11_B通院１１．５＿１．０</f>
        <v>167</v>
      </c>
      <c r="I50" s="25" t="s">
        <v>394</v>
      </c>
      <c r="J50" s="242"/>
      <c r="K50" s="49"/>
      <c r="L50" s="50"/>
      <c r="M50" s="55" t="s">
        <v>396</v>
      </c>
      <c r="N50" s="56" t="s">
        <v>397</v>
      </c>
      <c r="O50" s="57">
        <v>1</v>
      </c>
      <c r="P50" s="47"/>
      <c r="R50" s="63"/>
      <c r="S50" s="54"/>
      <c r="T50" s="49"/>
      <c r="U50" s="58">
        <f>+ROUND((ROUND((ROUND((_11_B通院１１．５＿１．０*_11・基礎１),0)*_11・２人),0)*(1+_11・B深夜)),0)</f>
        <v>176</v>
      </c>
      <c r="V50" s="59"/>
    </row>
    <row r="51" spans="1:22" ht="16.5" customHeight="1" x14ac:dyDescent="0.2">
      <c r="A51" s="53">
        <v>16</v>
      </c>
      <c r="B51" s="44">
        <v>3591</v>
      </c>
      <c r="C51" s="45" t="s">
        <v>1009</v>
      </c>
      <c r="D51" s="104"/>
      <c r="E51" s="67"/>
      <c r="G51" s="104"/>
      <c r="H51" s="245" t="s">
        <v>1988</v>
      </c>
      <c r="I51" s="246"/>
      <c r="J51" s="47"/>
      <c r="M51" s="48"/>
      <c r="N51" s="49"/>
      <c r="O51" s="50"/>
      <c r="P51" s="47"/>
      <c r="R51" s="63"/>
      <c r="S51" s="47"/>
      <c r="U51" s="51">
        <f>+ROUND((_11_B通院１１．５＿１．５*(1+_11・B深夜)),0)</f>
        <v>375</v>
      </c>
      <c r="V51" s="59"/>
    </row>
    <row r="52" spans="1:22" ht="16.5" customHeight="1" x14ac:dyDescent="0.2">
      <c r="A52" s="53">
        <v>16</v>
      </c>
      <c r="B52" s="53">
        <v>3592</v>
      </c>
      <c r="C52" s="69" t="s">
        <v>1010</v>
      </c>
      <c r="D52" s="104"/>
      <c r="E52" s="67"/>
      <c r="G52" s="104"/>
      <c r="H52" s="245"/>
      <c r="I52" s="246"/>
      <c r="J52" s="54"/>
      <c r="K52" s="49"/>
      <c r="L52" s="50"/>
      <c r="M52" s="55" t="s">
        <v>396</v>
      </c>
      <c r="N52" s="56" t="s">
        <v>397</v>
      </c>
      <c r="O52" s="57">
        <v>1</v>
      </c>
      <c r="P52" s="47"/>
      <c r="R52" s="63"/>
      <c r="S52" s="47"/>
      <c r="U52" s="58">
        <f>+ROUND((ROUND((_11_B通院１１．５＿１．５*_11・２人),0)*(1+_11・B深夜)),0)</f>
        <v>375</v>
      </c>
      <c r="V52" s="59"/>
    </row>
    <row r="53" spans="1:22" ht="16.5" customHeight="1" x14ac:dyDescent="0.2">
      <c r="A53" s="53">
        <v>16</v>
      </c>
      <c r="B53" s="53">
        <v>3593</v>
      </c>
      <c r="C53" s="69" t="s">
        <v>1011</v>
      </c>
      <c r="D53" s="104"/>
      <c r="E53" s="67"/>
      <c r="G53" s="104"/>
      <c r="H53" s="245"/>
      <c r="I53" s="246"/>
      <c r="J53" s="241" t="s">
        <v>398</v>
      </c>
      <c r="K53" s="60" t="s">
        <v>397</v>
      </c>
      <c r="L53" s="61">
        <v>0.7</v>
      </c>
      <c r="M53" s="55"/>
      <c r="N53" s="56"/>
      <c r="O53" s="57"/>
      <c r="P53" s="47"/>
      <c r="R53" s="63"/>
      <c r="S53" s="47"/>
      <c r="U53" s="58">
        <f>+ROUND((ROUND((_11_B通院１１．５＿１．５*_11・基礎１),0)*(1+_11・B深夜)),0)</f>
        <v>263</v>
      </c>
      <c r="V53" s="59"/>
    </row>
    <row r="54" spans="1:22" ht="16.5" customHeight="1" x14ac:dyDescent="0.2">
      <c r="A54" s="53">
        <v>16</v>
      </c>
      <c r="B54" s="53">
        <v>3594</v>
      </c>
      <c r="C54" s="69" t="s">
        <v>1012</v>
      </c>
      <c r="D54" s="104"/>
      <c r="E54" s="67"/>
      <c r="G54" s="104"/>
      <c r="H54" s="84">
        <f>_11_B通院１１．５＿１．５</f>
        <v>250</v>
      </c>
      <c r="I54" s="25" t="s">
        <v>394</v>
      </c>
      <c r="J54" s="242"/>
      <c r="K54" s="49"/>
      <c r="L54" s="50"/>
      <c r="M54" s="55" t="s">
        <v>396</v>
      </c>
      <c r="N54" s="56" t="s">
        <v>397</v>
      </c>
      <c r="O54" s="57">
        <v>1</v>
      </c>
      <c r="P54" s="47"/>
      <c r="R54" s="63"/>
      <c r="S54" s="54"/>
      <c r="T54" s="49"/>
      <c r="U54" s="58">
        <f>+ROUND((ROUND((ROUND((_11_B通院１１．５＿１．５*_11・基礎１),0)*_11・２人),0)*(1+_11・B深夜)),0)</f>
        <v>263</v>
      </c>
      <c r="V54" s="59"/>
    </row>
    <row r="55" spans="1:22" ht="16.5" customHeight="1" x14ac:dyDescent="0.2">
      <c r="A55" s="53">
        <v>16</v>
      </c>
      <c r="B55" s="53">
        <v>3595</v>
      </c>
      <c r="C55" s="69" t="s">
        <v>1013</v>
      </c>
      <c r="D55" s="104"/>
      <c r="E55" s="243" t="s">
        <v>1960</v>
      </c>
      <c r="F55" s="244"/>
      <c r="G55" s="104"/>
      <c r="H55" s="243" t="s">
        <v>1986</v>
      </c>
      <c r="I55" s="244"/>
      <c r="J55" s="62"/>
      <c r="K55" s="60"/>
      <c r="L55" s="61"/>
      <c r="M55" s="55"/>
      <c r="N55" s="56"/>
      <c r="O55" s="57"/>
      <c r="P55" s="47"/>
      <c r="R55" s="63"/>
      <c r="S55" s="62"/>
      <c r="T55" s="60"/>
      <c r="U55" s="58">
        <f>+ROUND((_11_B通院１２．０＿０．５*(1+_11・B深夜)),0)</f>
        <v>128</v>
      </c>
      <c r="V55" s="59"/>
    </row>
    <row r="56" spans="1:22" ht="16.5" customHeight="1" x14ac:dyDescent="0.2">
      <c r="A56" s="53">
        <v>16</v>
      </c>
      <c r="B56" s="53">
        <v>3596</v>
      </c>
      <c r="C56" s="69" t="s">
        <v>1014</v>
      </c>
      <c r="D56" s="104"/>
      <c r="E56" s="245"/>
      <c r="F56" s="246"/>
      <c r="G56" s="104"/>
      <c r="H56" s="245"/>
      <c r="I56" s="246"/>
      <c r="J56" s="54"/>
      <c r="K56" s="49"/>
      <c r="L56" s="50"/>
      <c r="M56" s="55" t="s">
        <v>396</v>
      </c>
      <c r="N56" s="56" t="s">
        <v>397</v>
      </c>
      <c r="O56" s="57">
        <v>1</v>
      </c>
      <c r="P56" s="47"/>
      <c r="R56" s="63"/>
      <c r="S56" s="47"/>
      <c r="U56" s="58">
        <f>+ROUND((ROUND((_11_B通院１２．０＿０．５*_11・２人),0)*(1+_11・B深夜)),0)</f>
        <v>128</v>
      </c>
      <c r="V56" s="59"/>
    </row>
    <row r="57" spans="1:22" ht="16.5" customHeight="1" x14ac:dyDescent="0.2">
      <c r="A57" s="53">
        <v>16</v>
      </c>
      <c r="B57" s="53">
        <v>3597</v>
      </c>
      <c r="C57" s="69" t="s">
        <v>1015</v>
      </c>
      <c r="D57" s="104"/>
      <c r="E57" s="245"/>
      <c r="F57" s="246"/>
      <c r="G57" s="104"/>
      <c r="H57" s="245"/>
      <c r="I57" s="246"/>
      <c r="J57" s="241" t="s">
        <v>398</v>
      </c>
      <c r="K57" s="60" t="s">
        <v>397</v>
      </c>
      <c r="L57" s="61">
        <v>0.7</v>
      </c>
      <c r="M57" s="55"/>
      <c r="N57" s="56"/>
      <c r="O57" s="57"/>
      <c r="P57" s="47"/>
      <c r="R57" s="63"/>
      <c r="S57" s="47"/>
      <c r="U57" s="58">
        <f>+ROUND((ROUND((_11_B通院１２．０＿０．５*_11・基礎１),0)*(1+_11・B深夜)),0)</f>
        <v>90</v>
      </c>
      <c r="V57" s="59"/>
    </row>
    <row r="58" spans="1:22" ht="16.5" customHeight="1" x14ac:dyDescent="0.2">
      <c r="A58" s="53">
        <v>16</v>
      </c>
      <c r="B58" s="53">
        <v>3598</v>
      </c>
      <c r="C58" s="69" t="s">
        <v>1016</v>
      </c>
      <c r="D58" s="104"/>
      <c r="E58" s="94"/>
      <c r="F58" s="46"/>
      <c r="G58" s="104"/>
      <c r="H58" s="84">
        <f>_11_B通院１２．０＿０．５</f>
        <v>85</v>
      </c>
      <c r="I58" s="25" t="s">
        <v>394</v>
      </c>
      <c r="J58" s="242"/>
      <c r="K58" s="49"/>
      <c r="L58" s="50"/>
      <c r="M58" s="55" t="s">
        <v>396</v>
      </c>
      <c r="N58" s="56" t="s">
        <v>397</v>
      </c>
      <c r="O58" s="57">
        <v>1</v>
      </c>
      <c r="P58" s="47"/>
      <c r="R58" s="63"/>
      <c r="S58" s="54"/>
      <c r="T58" s="49"/>
      <c r="U58" s="58">
        <f>+ROUND((ROUND((ROUND((_11_B通院１２．０＿０．５*_11・基礎１),0)*_11・２人),0)*(1+_11・B深夜)),0)</f>
        <v>90</v>
      </c>
      <c r="V58" s="59"/>
    </row>
    <row r="59" spans="1:22" ht="16.5" customHeight="1" x14ac:dyDescent="0.2">
      <c r="A59" s="53">
        <v>16</v>
      </c>
      <c r="B59" s="53">
        <v>3599</v>
      </c>
      <c r="C59" s="69" t="s">
        <v>1017</v>
      </c>
      <c r="D59" s="104"/>
      <c r="E59" s="67"/>
      <c r="G59" s="104"/>
      <c r="H59" s="243" t="s">
        <v>1987</v>
      </c>
      <c r="I59" s="244"/>
      <c r="J59" s="62"/>
      <c r="K59" s="60"/>
      <c r="L59" s="61"/>
      <c r="M59" s="55"/>
      <c r="N59" s="56"/>
      <c r="O59" s="57"/>
      <c r="P59" s="47"/>
      <c r="R59" s="63"/>
      <c r="S59" s="62"/>
      <c r="T59" s="60"/>
      <c r="U59" s="58">
        <f>+ROUND((_11_B通院１２．０＿１．０*(1+_11・B深夜)),0)</f>
        <v>252</v>
      </c>
      <c r="V59" s="59"/>
    </row>
    <row r="60" spans="1:22" ht="16.5" customHeight="1" x14ac:dyDescent="0.2">
      <c r="A60" s="53">
        <v>16</v>
      </c>
      <c r="B60" s="53">
        <v>3600</v>
      </c>
      <c r="C60" s="69" t="s">
        <v>1018</v>
      </c>
      <c r="D60" s="104"/>
      <c r="E60" s="67"/>
      <c r="G60" s="104"/>
      <c r="H60" s="245"/>
      <c r="I60" s="246"/>
      <c r="J60" s="54"/>
      <c r="K60" s="49"/>
      <c r="L60" s="50"/>
      <c r="M60" s="55" t="s">
        <v>396</v>
      </c>
      <c r="N60" s="56" t="s">
        <v>397</v>
      </c>
      <c r="O60" s="57">
        <v>1</v>
      </c>
      <c r="P60" s="47"/>
      <c r="R60" s="63"/>
      <c r="S60" s="47"/>
      <c r="U60" s="58">
        <f>+ROUND((ROUND((_11_B通院１２．０＿１．０*_11・２人),0)*(1+_11・B深夜)),0)</f>
        <v>252</v>
      </c>
      <c r="V60" s="59"/>
    </row>
    <row r="61" spans="1:22" ht="16.5" customHeight="1" x14ac:dyDescent="0.2">
      <c r="A61" s="53">
        <v>16</v>
      </c>
      <c r="B61" s="53">
        <v>3601</v>
      </c>
      <c r="C61" s="69" t="s">
        <v>1019</v>
      </c>
      <c r="D61" s="104"/>
      <c r="E61" s="67"/>
      <c r="G61" s="104"/>
      <c r="H61" s="245"/>
      <c r="I61" s="246"/>
      <c r="J61" s="241" t="s">
        <v>398</v>
      </c>
      <c r="K61" s="60" t="s">
        <v>397</v>
      </c>
      <c r="L61" s="61">
        <v>0.7</v>
      </c>
      <c r="M61" s="55"/>
      <c r="N61" s="56"/>
      <c r="O61" s="57"/>
      <c r="P61" s="47"/>
      <c r="R61" s="63"/>
      <c r="S61" s="47"/>
      <c r="U61" s="58">
        <f>+ROUND((ROUND((_11_B通院１２．０＿１．０*_11・基礎１),0)*(1+_11・B深夜)),0)</f>
        <v>177</v>
      </c>
      <c r="V61" s="59"/>
    </row>
    <row r="62" spans="1:22" ht="16.5" customHeight="1" x14ac:dyDescent="0.2">
      <c r="A62" s="53">
        <v>16</v>
      </c>
      <c r="B62" s="53">
        <v>3602</v>
      </c>
      <c r="C62" s="69" t="s">
        <v>1020</v>
      </c>
      <c r="D62" s="104"/>
      <c r="E62" s="67"/>
      <c r="G62" s="104"/>
      <c r="H62" s="84">
        <f>_11_B通院１２．０＿１．０</f>
        <v>168</v>
      </c>
      <c r="I62" s="25" t="s">
        <v>394</v>
      </c>
      <c r="J62" s="242"/>
      <c r="K62" s="49"/>
      <c r="L62" s="50"/>
      <c r="M62" s="55" t="s">
        <v>396</v>
      </c>
      <c r="N62" s="56" t="s">
        <v>397</v>
      </c>
      <c r="O62" s="57">
        <v>1</v>
      </c>
      <c r="P62" s="47"/>
      <c r="R62" s="63"/>
      <c r="S62" s="54"/>
      <c r="T62" s="49"/>
      <c r="U62" s="58">
        <f>+ROUND((ROUND((ROUND((_11_B通院１２．０＿１．０*_11・基礎１),0)*_11・２人),0)*(1+_11・B深夜)),0)</f>
        <v>177</v>
      </c>
      <c r="V62" s="59"/>
    </row>
    <row r="63" spans="1:22" ht="16.5" customHeight="1" x14ac:dyDescent="0.2">
      <c r="A63" s="53">
        <v>16</v>
      </c>
      <c r="B63" s="53">
        <v>3603</v>
      </c>
      <c r="C63" s="69" t="s">
        <v>1021</v>
      </c>
      <c r="D63" s="104"/>
      <c r="E63" s="243" t="s">
        <v>1961</v>
      </c>
      <c r="F63" s="244"/>
      <c r="G63" s="104"/>
      <c r="H63" s="243" t="s">
        <v>1986</v>
      </c>
      <c r="I63" s="244"/>
      <c r="J63" s="62"/>
      <c r="K63" s="60"/>
      <c r="L63" s="61"/>
      <c r="M63" s="55"/>
      <c r="N63" s="56"/>
      <c r="O63" s="57"/>
      <c r="P63" s="47"/>
      <c r="R63" s="63"/>
      <c r="S63" s="62"/>
      <c r="T63" s="60"/>
      <c r="U63" s="58">
        <f>+ROUND((_11_B通院１２．５＿０．５*(1+_11・B深夜)),0)</f>
        <v>125</v>
      </c>
      <c r="V63" s="59"/>
    </row>
    <row r="64" spans="1:22" ht="16.5" customHeight="1" x14ac:dyDescent="0.2">
      <c r="A64" s="53">
        <v>16</v>
      </c>
      <c r="B64" s="53">
        <v>3604</v>
      </c>
      <c r="C64" s="69" t="s">
        <v>1022</v>
      </c>
      <c r="D64" s="104"/>
      <c r="E64" s="245"/>
      <c r="F64" s="246"/>
      <c r="G64" s="104"/>
      <c r="H64" s="245"/>
      <c r="I64" s="246"/>
      <c r="J64" s="54"/>
      <c r="K64" s="49"/>
      <c r="L64" s="50"/>
      <c r="M64" s="55" t="s">
        <v>396</v>
      </c>
      <c r="N64" s="56" t="s">
        <v>397</v>
      </c>
      <c r="O64" s="57">
        <v>1</v>
      </c>
      <c r="P64" s="47"/>
      <c r="R64" s="63"/>
      <c r="S64" s="47"/>
      <c r="U64" s="58">
        <f>+ROUND((ROUND((_11_B通院１２．５＿０．５*_11・２人),0)*(1+_11・B深夜)),0)</f>
        <v>125</v>
      </c>
      <c r="V64" s="59"/>
    </row>
    <row r="65" spans="1:22" ht="16.5" customHeight="1" x14ac:dyDescent="0.2">
      <c r="A65" s="53">
        <v>16</v>
      </c>
      <c r="B65" s="53">
        <v>3605</v>
      </c>
      <c r="C65" s="69" t="s">
        <v>1023</v>
      </c>
      <c r="D65" s="104"/>
      <c r="E65" s="245"/>
      <c r="F65" s="246"/>
      <c r="G65" s="104"/>
      <c r="H65" s="245"/>
      <c r="I65" s="246"/>
      <c r="J65" s="241" t="s">
        <v>398</v>
      </c>
      <c r="K65" s="60" t="s">
        <v>397</v>
      </c>
      <c r="L65" s="61">
        <v>0.7</v>
      </c>
      <c r="M65" s="55"/>
      <c r="N65" s="56"/>
      <c r="O65" s="57"/>
      <c r="P65" s="47"/>
      <c r="R65" s="63"/>
      <c r="S65" s="47"/>
      <c r="U65" s="58">
        <f>+ROUND((ROUND((_11_B通院１２．５＿０．５*_11・基礎１),0)*(1+_11・B深夜)),0)</f>
        <v>87</v>
      </c>
      <c r="V65" s="59"/>
    </row>
    <row r="66" spans="1:22" ht="16.5" customHeight="1" x14ac:dyDescent="0.2">
      <c r="A66" s="53">
        <v>16</v>
      </c>
      <c r="B66" s="53">
        <v>3606</v>
      </c>
      <c r="C66" s="69" t="s">
        <v>1024</v>
      </c>
      <c r="D66" s="105"/>
      <c r="E66" s="173"/>
      <c r="F66" s="174"/>
      <c r="G66" s="105"/>
      <c r="H66" s="110">
        <f>_11_B通院１２．５＿０．５</f>
        <v>83</v>
      </c>
      <c r="I66" s="97" t="s">
        <v>394</v>
      </c>
      <c r="J66" s="242"/>
      <c r="K66" s="49"/>
      <c r="L66" s="50"/>
      <c r="M66" s="55" t="s">
        <v>396</v>
      </c>
      <c r="N66" s="56" t="s">
        <v>397</v>
      </c>
      <c r="O66" s="57">
        <v>1</v>
      </c>
      <c r="P66" s="54"/>
      <c r="Q66" s="50"/>
      <c r="R66" s="97"/>
      <c r="S66" s="54"/>
      <c r="T66" s="49"/>
      <c r="U66" s="58">
        <f>+ROUND((ROUND((ROUND((_11_B通院１２．５＿０．５*_11・基礎１),0)*_11・２人),0)*(1+_11・B深夜)),0)</f>
        <v>87</v>
      </c>
      <c r="V66" s="111"/>
    </row>
    <row r="67" spans="1:22" ht="16.5" customHeight="1" x14ac:dyDescent="0.2"/>
    <row r="68" spans="1:22" ht="16.5" customHeight="1" x14ac:dyDescent="0.2"/>
  </sheetData>
  <mergeCells count="42">
    <mergeCell ref="R8:R9"/>
    <mergeCell ref="J9:J10"/>
    <mergeCell ref="G6:I6"/>
    <mergeCell ref="D7:D10"/>
    <mergeCell ref="E7:F9"/>
    <mergeCell ref="G7:G10"/>
    <mergeCell ref="H7:I9"/>
    <mergeCell ref="H23:I25"/>
    <mergeCell ref="J25:J26"/>
    <mergeCell ref="H11:I13"/>
    <mergeCell ref="J13:J14"/>
    <mergeCell ref="H15:I17"/>
    <mergeCell ref="J17:J18"/>
    <mergeCell ref="H19:I21"/>
    <mergeCell ref="J21:J22"/>
    <mergeCell ref="E27:F29"/>
    <mergeCell ref="H27:I29"/>
    <mergeCell ref="J29:J30"/>
    <mergeCell ref="H35:I37"/>
    <mergeCell ref="J37:J38"/>
    <mergeCell ref="H31:I33"/>
    <mergeCell ref="J33:J34"/>
    <mergeCell ref="H39:I41"/>
    <mergeCell ref="J41:J42"/>
    <mergeCell ref="D43:D46"/>
    <mergeCell ref="E43:F45"/>
    <mergeCell ref="G43:G46"/>
    <mergeCell ref="H43:I45"/>
    <mergeCell ref="R44:R45"/>
    <mergeCell ref="J45:J46"/>
    <mergeCell ref="H47:I49"/>
    <mergeCell ref="J49:J50"/>
    <mergeCell ref="H51:I53"/>
    <mergeCell ref="J53:J54"/>
    <mergeCell ref="E63:F65"/>
    <mergeCell ref="H63:I65"/>
    <mergeCell ref="J65:J66"/>
    <mergeCell ref="E55:F57"/>
    <mergeCell ref="H55:I57"/>
    <mergeCell ref="J57:J58"/>
    <mergeCell ref="H59:I61"/>
    <mergeCell ref="J61:J6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0" fitToHeight="0" orientation="portrait" r:id="rId1"/>
  <headerFooter>
    <oddHeader>&amp;R&amp;"ＭＳ Ｐゴシック"&amp;9居宅介護</oddHeader>
    <oddFooter>&amp;C&amp;"ＭＳ Ｐゴシック"&amp;14&amp;P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524</vt:i4>
      </vt:variant>
    </vt:vector>
  </HeadingPairs>
  <TitlesOfParts>
    <vt:vector size="556" baseType="lpstr">
      <vt:lpstr>_11_居宅介護（名前定義）</vt:lpstr>
      <vt:lpstr>(身体あり、単一日中)</vt:lpstr>
      <vt:lpstr>(身体あり、単一早朝夜間)</vt:lpstr>
      <vt:lpstr>(身体あり、単一深夜)</vt:lpstr>
      <vt:lpstr>(身体あり、合成深夜)</vt:lpstr>
      <vt:lpstr>(身体あり、合成早朝)</vt:lpstr>
      <vt:lpstr>(身体あり、合成日中)</vt:lpstr>
      <vt:lpstr>(身体あり、合成夜間１)</vt:lpstr>
      <vt:lpstr>(身体あり、合成夜間２)</vt:lpstr>
      <vt:lpstr>(身体あり、2h未合成１)</vt:lpstr>
      <vt:lpstr>(身体あり、2h未合成２)</vt:lpstr>
      <vt:lpstr>(身体あり、2h未合成３‐1)</vt:lpstr>
      <vt:lpstr>(身体あり、日中増分)</vt:lpstr>
      <vt:lpstr>(身体あり、日中増分)(補正)</vt:lpstr>
      <vt:lpstr>(身体あり、早朝夜間増分)</vt:lpstr>
      <vt:lpstr>(身体あり、早朝夜間増分)(補正)</vt:lpstr>
      <vt:lpstr>(身体あり、深夜増分)</vt:lpstr>
      <vt:lpstr>(身体あり、深夜増分)(補正)</vt:lpstr>
      <vt:lpstr>(身体なし、単一日中)</vt:lpstr>
      <vt:lpstr>(身体なし、単一早朝夜間)</vt:lpstr>
      <vt:lpstr>(身体なし、単一深夜)</vt:lpstr>
      <vt:lpstr>(身体なし、合成１)</vt:lpstr>
      <vt:lpstr>(身体なし、合成２)</vt:lpstr>
      <vt:lpstr>(身体なし、2h未合成１)</vt:lpstr>
      <vt:lpstr>(身体なし、日中増分)</vt:lpstr>
      <vt:lpstr>(身体なし、日中増分)(補正)</vt:lpstr>
      <vt:lpstr>(身体なし、早朝夜間増分)</vt:lpstr>
      <vt:lpstr>(身体なし、早朝夜間増分)(補正)</vt:lpstr>
      <vt:lpstr>(身体なし、深夜増分)</vt:lpstr>
      <vt:lpstr>(身体なし、深夜増分)(補正)</vt:lpstr>
      <vt:lpstr>上限管理加算</vt:lpstr>
      <vt:lpstr>_15_同行援護（名前定義）</vt:lpstr>
      <vt:lpstr>_11_A家事０．５</vt:lpstr>
      <vt:lpstr>_11_A家事０．７５</vt:lpstr>
      <vt:lpstr>_11_A家事１．０</vt:lpstr>
      <vt:lpstr>_11_A家事１．２５</vt:lpstr>
      <vt:lpstr>_11_A家事１．５</vt:lpstr>
      <vt:lpstr>_11_A家事１．７５</vt:lpstr>
      <vt:lpstr>_11_A家事１０．０</vt:lpstr>
      <vt:lpstr>_11_A家事１０．２５</vt:lpstr>
      <vt:lpstr>_11_A家事１０．５</vt:lpstr>
      <vt:lpstr>_11_A家事２．０</vt:lpstr>
      <vt:lpstr>_11_A家事２．２５</vt:lpstr>
      <vt:lpstr>_11_A家事２．５</vt:lpstr>
      <vt:lpstr>_11_A家事２．７５</vt:lpstr>
      <vt:lpstr>_11_A家事３．０</vt:lpstr>
      <vt:lpstr>_11_A家事３．２５</vt:lpstr>
      <vt:lpstr>_11_A家事３．５</vt:lpstr>
      <vt:lpstr>_11_A家事３．７５</vt:lpstr>
      <vt:lpstr>_11_A家事４．０</vt:lpstr>
      <vt:lpstr>_11_A家事４．２５</vt:lpstr>
      <vt:lpstr>_11_A家事４．５</vt:lpstr>
      <vt:lpstr>_11_A家事４．７５</vt:lpstr>
      <vt:lpstr>_11_A家事５．０</vt:lpstr>
      <vt:lpstr>_11_A家事５．２５</vt:lpstr>
      <vt:lpstr>_11_A家事５．５</vt:lpstr>
      <vt:lpstr>_11_A家事５．７５</vt:lpstr>
      <vt:lpstr>_11_A家事６．０</vt:lpstr>
      <vt:lpstr>_11_A家事６．２５</vt:lpstr>
      <vt:lpstr>_11_A家事６．５</vt:lpstr>
      <vt:lpstr>_11_A家事６．７５</vt:lpstr>
      <vt:lpstr>_11_A家事７．０</vt:lpstr>
      <vt:lpstr>_11_A家事７．２５</vt:lpstr>
      <vt:lpstr>_11_A家事７．５</vt:lpstr>
      <vt:lpstr>_11_A家事７．７５</vt:lpstr>
      <vt:lpstr>_11_A家事８．０</vt:lpstr>
      <vt:lpstr>_11_A家事８．２５</vt:lpstr>
      <vt:lpstr>_11_A家事８．５</vt:lpstr>
      <vt:lpstr>_11_A家事８．７５</vt:lpstr>
      <vt:lpstr>_11_A家事９．０</vt:lpstr>
      <vt:lpstr>_11_A家事９．２５</vt:lpstr>
      <vt:lpstr>_11_A家事９．５</vt:lpstr>
      <vt:lpstr>_11_A家事９．７５</vt:lpstr>
      <vt:lpstr>_11_A家事増０．２５</vt:lpstr>
      <vt:lpstr>_11_A家事増０．５</vt:lpstr>
      <vt:lpstr>_11_A家事増０．７５</vt:lpstr>
      <vt:lpstr>_11_A家事増１．０</vt:lpstr>
      <vt:lpstr>_11_A家事増１．２５</vt:lpstr>
      <vt:lpstr>_11_A家事増１．５</vt:lpstr>
      <vt:lpstr>_11_A家事増１．７５</vt:lpstr>
      <vt:lpstr>_11_A家事増１０．０</vt:lpstr>
      <vt:lpstr>_11_A家事増１０．２５</vt:lpstr>
      <vt:lpstr>_11_A家事増１０．５</vt:lpstr>
      <vt:lpstr>_11_A家事増２．０</vt:lpstr>
      <vt:lpstr>_11_A家事増２．２５</vt:lpstr>
      <vt:lpstr>_11_A家事増２．５</vt:lpstr>
      <vt:lpstr>_11_A家事増２．７５</vt:lpstr>
      <vt:lpstr>_11_A家事増３．０</vt:lpstr>
      <vt:lpstr>_11_A家事増３．２５</vt:lpstr>
      <vt:lpstr>_11_A家事増３．５</vt:lpstr>
      <vt:lpstr>_11_A家事増３．７５</vt:lpstr>
      <vt:lpstr>_11_A家事増４．０</vt:lpstr>
      <vt:lpstr>_11_A家事増４．２５</vt:lpstr>
      <vt:lpstr>_11_A家事増４．５</vt:lpstr>
      <vt:lpstr>_11_A家事増４．７５</vt:lpstr>
      <vt:lpstr>_11_A家事増５．０</vt:lpstr>
      <vt:lpstr>_11_A家事増５．２５</vt:lpstr>
      <vt:lpstr>_11_A家事増５．５</vt:lpstr>
      <vt:lpstr>_11_A家事増５．７５</vt:lpstr>
      <vt:lpstr>_11_A家事増６．０</vt:lpstr>
      <vt:lpstr>_11_A家事増６．２５</vt:lpstr>
      <vt:lpstr>_11_A家事増６．５</vt:lpstr>
      <vt:lpstr>_11_A家事増６．７５</vt:lpstr>
      <vt:lpstr>_11_A家事増７．０</vt:lpstr>
      <vt:lpstr>_11_A家事増７．２５</vt:lpstr>
      <vt:lpstr>_11_A家事増７．５</vt:lpstr>
      <vt:lpstr>_11_A家事増７．７５</vt:lpstr>
      <vt:lpstr>_11_A家事増８．０</vt:lpstr>
      <vt:lpstr>_11_A家事増８．２５</vt:lpstr>
      <vt:lpstr>_11_A家事増８．５</vt:lpstr>
      <vt:lpstr>_11_A家事増８．７５</vt:lpstr>
      <vt:lpstr>_11_A家事増９．０</vt:lpstr>
      <vt:lpstr>_11_A家事増９．２５</vt:lpstr>
      <vt:lpstr>_11_A家事増９．５</vt:lpstr>
      <vt:lpstr>_11_A家事増９．７５</vt:lpstr>
      <vt:lpstr>_11_A重度研修１．０</vt:lpstr>
      <vt:lpstr>_11_A重度研修１．５</vt:lpstr>
      <vt:lpstr>_11_A重度研修１０．０</vt:lpstr>
      <vt:lpstr>_11_A重度研修１０．５</vt:lpstr>
      <vt:lpstr>_11_A重度研修２．０</vt:lpstr>
      <vt:lpstr>_11_A重度研修２．５</vt:lpstr>
      <vt:lpstr>_11_A重度研修３．０</vt:lpstr>
      <vt:lpstr>_11_A重度研修３．５</vt:lpstr>
      <vt:lpstr>_11_A重度研修４．０</vt:lpstr>
      <vt:lpstr>_11_A重度研修４．５</vt:lpstr>
      <vt:lpstr>_11_A重度研修５．０</vt:lpstr>
      <vt:lpstr>_11_A重度研修５．５</vt:lpstr>
      <vt:lpstr>_11_A重度研修６．０</vt:lpstr>
      <vt:lpstr>_11_A重度研修６．５</vt:lpstr>
      <vt:lpstr>_11_A重度研修７．０</vt:lpstr>
      <vt:lpstr>_11_A重度研修７．５</vt:lpstr>
      <vt:lpstr>_11_A重度研修８．０</vt:lpstr>
      <vt:lpstr>_11_A重度研修８．５</vt:lpstr>
      <vt:lpstr>_11_A重度研修９．０</vt:lpstr>
      <vt:lpstr>_11_A重度研修９．５</vt:lpstr>
      <vt:lpstr>_11_A重度研修増０．５</vt:lpstr>
      <vt:lpstr>_11_A重度研修増１．０</vt:lpstr>
      <vt:lpstr>_11_A重度研修増１．５</vt:lpstr>
      <vt:lpstr>_11_A重度研修増１０．０</vt:lpstr>
      <vt:lpstr>_11_A重度研修増１０．５</vt:lpstr>
      <vt:lpstr>_11_A重度研修増２．０</vt:lpstr>
      <vt:lpstr>_11_A重度研修増２．５</vt:lpstr>
      <vt:lpstr>_11_A重度研修増３．０</vt:lpstr>
      <vt:lpstr>_11_A重度研修増３．５</vt:lpstr>
      <vt:lpstr>_11_A重度研修増４．０</vt:lpstr>
      <vt:lpstr>_11_A重度研修増４．５</vt:lpstr>
      <vt:lpstr>_11_A重度研修増５．０</vt:lpstr>
      <vt:lpstr>_11_A重度研修増５．５</vt:lpstr>
      <vt:lpstr>_11_A重度研修増６．０</vt:lpstr>
      <vt:lpstr>_11_A重度研修増６．５</vt:lpstr>
      <vt:lpstr>_11_A重度研修増７．０</vt:lpstr>
      <vt:lpstr>_11_A重度研修増７．５</vt:lpstr>
      <vt:lpstr>_11_A重度研修増８．０</vt:lpstr>
      <vt:lpstr>_11_A重度研修増８．５</vt:lpstr>
      <vt:lpstr>_11_A重度研修増９．０</vt:lpstr>
      <vt:lpstr>_11_A重度研修増９．５</vt:lpstr>
      <vt:lpstr>_11_A身体０．５</vt:lpstr>
      <vt:lpstr>_11_A身体１．０</vt:lpstr>
      <vt:lpstr>_11_A身体１．５</vt:lpstr>
      <vt:lpstr>_11_A身体１０．０</vt:lpstr>
      <vt:lpstr>_11_A身体１０．５</vt:lpstr>
      <vt:lpstr>_11_A身体２．０</vt:lpstr>
      <vt:lpstr>_11_A身体２．５</vt:lpstr>
      <vt:lpstr>_11_A身体３．０</vt:lpstr>
      <vt:lpstr>_11_A身体３．５</vt:lpstr>
      <vt:lpstr>_11_A身体４．０</vt:lpstr>
      <vt:lpstr>_11_A身体４．５</vt:lpstr>
      <vt:lpstr>_11_A身体５．０</vt:lpstr>
      <vt:lpstr>_11_A身体５．５</vt:lpstr>
      <vt:lpstr>_11_A身体６．０</vt:lpstr>
      <vt:lpstr>_11_A身体６．５</vt:lpstr>
      <vt:lpstr>_11_A身体７．０</vt:lpstr>
      <vt:lpstr>_11_A身体７．５</vt:lpstr>
      <vt:lpstr>_11_A身体８．０</vt:lpstr>
      <vt:lpstr>_11_A身体８．５</vt:lpstr>
      <vt:lpstr>_11_A身体９．０</vt:lpstr>
      <vt:lpstr>_11_A身体９．５</vt:lpstr>
      <vt:lpstr>_11_A身体増０．５</vt:lpstr>
      <vt:lpstr>_11_A身体増１．０</vt:lpstr>
      <vt:lpstr>_11_A身体増１．５</vt:lpstr>
      <vt:lpstr>_11_A身体増１０．０</vt:lpstr>
      <vt:lpstr>_11_A身体増１０．５</vt:lpstr>
      <vt:lpstr>_11_A身体増２．０</vt:lpstr>
      <vt:lpstr>_11_A身体増２．５</vt:lpstr>
      <vt:lpstr>_11_A身体増３．０</vt:lpstr>
      <vt:lpstr>_11_A身体増３．５</vt:lpstr>
      <vt:lpstr>_11_A身体増４．０</vt:lpstr>
      <vt:lpstr>_11_A身体増４．５</vt:lpstr>
      <vt:lpstr>_11_A身体増５．０</vt:lpstr>
      <vt:lpstr>_11_A身体増５．５</vt:lpstr>
      <vt:lpstr>_11_A身体増６．０</vt:lpstr>
      <vt:lpstr>_11_A身体増６．５</vt:lpstr>
      <vt:lpstr>_11_A身体増７．０</vt:lpstr>
      <vt:lpstr>_11_A身体増７．５</vt:lpstr>
      <vt:lpstr>_11_A身体増８．０</vt:lpstr>
      <vt:lpstr>_11_A身体増８．５</vt:lpstr>
      <vt:lpstr>_11_A身体増９．０</vt:lpstr>
      <vt:lpstr>_11_A身体増９．５</vt:lpstr>
      <vt:lpstr>_11_A通院１０．５</vt:lpstr>
      <vt:lpstr>_11_A通院１１．０</vt:lpstr>
      <vt:lpstr>_11_A通院１１．５</vt:lpstr>
      <vt:lpstr>_11_A通院１１０．０</vt:lpstr>
      <vt:lpstr>_11_A通院１１０．５</vt:lpstr>
      <vt:lpstr>_11_A通院１２．０</vt:lpstr>
      <vt:lpstr>_11_A通院１２．５</vt:lpstr>
      <vt:lpstr>_11_A通院１３．０</vt:lpstr>
      <vt:lpstr>_11_A通院１３．５</vt:lpstr>
      <vt:lpstr>_11_A通院１４．０</vt:lpstr>
      <vt:lpstr>_11_A通院１４．５</vt:lpstr>
      <vt:lpstr>_11_A通院１５．０</vt:lpstr>
      <vt:lpstr>_11_A通院１５．５</vt:lpstr>
      <vt:lpstr>_11_A通院１６．０</vt:lpstr>
      <vt:lpstr>_11_A通院１６．５</vt:lpstr>
      <vt:lpstr>_11_A通院１７．０</vt:lpstr>
      <vt:lpstr>_11_A通院１７．５</vt:lpstr>
      <vt:lpstr>_11_A通院１８．０</vt:lpstr>
      <vt:lpstr>_11_A通院１８．５</vt:lpstr>
      <vt:lpstr>_11_A通院１９．０</vt:lpstr>
      <vt:lpstr>_11_A通院１９．５</vt:lpstr>
      <vt:lpstr>_11_A通院１増０．５</vt:lpstr>
      <vt:lpstr>_11_A通院１増１．０</vt:lpstr>
      <vt:lpstr>_11_A通院１増１．５</vt:lpstr>
      <vt:lpstr>_11_A通院１増１０．０</vt:lpstr>
      <vt:lpstr>_11_A通院１増１０．５</vt:lpstr>
      <vt:lpstr>_11_A通院１増２．０</vt:lpstr>
      <vt:lpstr>_11_A通院１増２．５</vt:lpstr>
      <vt:lpstr>_11_A通院１増３．０</vt:lpstr>
      <vt:lpstr>_11_A通院１増３．５</vt:lpstr>
      <vt:lpstr>_11_A通院１増４．０</vt:lpstr>
      <vt:lpstr>_11_A通院１増４．５</vt:lpstr>
      <vt:lpstr>_11_A通院１増５．０</vt:lpstr>
      <vt:lpstr>_11_A通院１増５．５</vt:lpstr>
      <vt:lpstr>_11_A通院１増６．０</vt:lpstr>
      <vt:lpstr>_11_A通院１増６．５</vt:lpstr>
      <vt:lpstr>_11_A通院１増７．０</vt:lpstr>
      <vt:lpstr>_11_A通院１増７．５</vt:lpstr>
      <vt:lpstr>_11_A通院１増８．０</vt:lpstr>
      <vt:lpstr>_11_A通院１増８．５</vt:lpstr>
      <vt:lpstr>_11_A通院１増９．０</vt:lpstr>
      <vt:lpstr>_11_A通院１増９．５</vt:lpstr>
      <vt:lpstr>_11_A通院２０．５</vt:lpstr>
      <vt:lpstr>_11_A通院２１．０</vt:lpstr>
      <vt:lpstr>_11_A通院２１．５</vt:lpstr>
      <vt:lpstr>_11_A通院２１０．０</vt:lpstr>
      <vt:lpstr>_11_A通院２１０．５</vt:lpstr>
      <vt:lpstr>_11_A通院２２．０</vt:lpstr>
      <vt:lpstr>_11_A通院２２．５</vt:lpstr>
      <vt:lpstr>_11_A通院２３．０</vt:lpstr>
      <vt:lpstr>_11_A通院２３．５</vt:lpstr>
      <vt:lpstr>_11_A通院２４．０</vt:lpstr>
      <vt:lpstr>_11_A通院２４．５</vt:lpstr>
      <vt:lpstr>_11_A通院２５．０</vt:lpstr>
      <vt:lpstr>_11_A通院２５．５</vt:lpstr>
      <vt:lpstr>_11_A通院２６．０</vt:lpstr>
      <vt:lpstr>_11_A通院２６．５</vt:lpstr>
      <vt:lpstr>_11_A通院２７．０</vt:lpstr>
      <vt:lpstr>_11_A通院２７．５</vt:lpstr>
      <vt:lpstr>_11_A通院２８．０</vt:lpstr>
      <vt:lpstr>_11_A通院２８．５</vt:lpstr>
      <vt:lpstr>_11_A通院２９．０</vt:lpstr>
      <vt:lpstr>_11_A通院２９．５</vt:lpstr>
      <vt:lpstr>_11_A通院２増０．５</vt:lpstr>
      <vt:lpstr>_11_A通院２増１．０</vt:lpstr>
      <vt:lpstr>_11_A通院２増１．５</vt:lpstr>
      <vt:lpstr>_11_A通院２増１０．０</vt:lpstr>
      <vt:lpstr>_11_A通院２増１０．５</vt:lpstr>
      <vt:lpstr>_11_A通院２増２．０</vt:lpstr>
      <vt:lpstr>_11_A通院２増２．５</vt:lpstr>
      <vt:lpstr>_11_A通院２増３．０</vt:lpstr>
      <vt:lpstr>_11_A通院２増３．５</vt:lpstr>
      <vt:lpstr>_11_A通院２増４．０</vt:lpstr>
      <vt:lpstr>_11_A通院２増４．５</vt:lpstr>
      <vt:lpstr>_11_A通院２増５．０</vt:lpstr>
      <vt:lpstr>_11_A通院２増５．５</vt:lpstr>
      <vt:lpstr>_11_A通院２増６．０</vt:lpstr>
      <vt:lpstr>_11_A通院２増６．５</vt:lpstr>
      <vt:lpstr>_11_A通院２増７．０</vt:lpstr>
      <vt:lpstr>_11_A通院２増７．５</vt:lpstr>
      <vt:lpstr>_11_A通院２増８．０</vt:lpstr>
      <vt:lpstr>_11_A通院２増８．５</vt:lpstr>
      <vt:lpstr>_11_A通院２増９．０</vt:lpstr>
      <vt:lpstr>_11_A通院２増９．５</vt:lpstr>
      <vt:lpstr>_11_A通院乗降</vt:lpstr>
      <vt:lpstr>_11_B家事０．５＿０．２５</vt:lpstr>
      <vt:lpstr>_11_B家事０．５＿０．５</vt:lpstr>
      <vt:lpstr>_11_B家事０．５＿０．７５</vt:lpstr>
      <vt:lpstr>_11_B家事０．５＿１．０</vt:lpstr>
      <vt:lpstr>_11_B家事０．７５＿０．２５</vt:lpstr>
      <vt:lpstr>_11_B家事０．７５＿０．５</vt:lpstr>
      <vt:lpstr>_11_B家事０．７５＿０．７５</vt:lpstr>
      <vt:lpstr>_11_B家事１．０＿０．２５</vt:lpstr>
      <vt:lpstr>_11_B家事１．０＿０．５</vt:lpstr>
      <vt:lpstr>_11_B家事１．２５＿０．２５</vt:lpstr>
      <vt:lpstr>_11_B重度研修１．０＿０．５</vt:lpstr>
      <vt:lpstr>_11_B重度研修１．０＿１．０</vt:lpstr>
      <vt:lpstr>_11_B重度研修１．０＿１．５</vt:lpstr>
      <vt:lpstr>_11_B重度研修１．０＿２．０</vt:lpstr>
      <vt:lpstr>_11_B重度研修１．５＿０．５</vt:lpstr>
      <vt:lpstr>_11_B重度研修１．５＿１．０</vt:lpstr>
      <vt:lpstr>_11_B重度研修１．５＿１．５</vt:lpstr>
      <vt:lpstr>_11_B重度研修２．０＿０．５</vt:lpstr>
      <vt:lpstr>_11_B重度研修２．０＿１．０</vt:lpstr>
      <vt:lpstr>_11_B重度研修２．５＿０．５</vt:lpstr>
      <vt:lpstr>_11_B身体０．５＿０．５</vt:lpstr>
      <vt:lpstr>_11_B身体０．５＿１．０</vt:lpstr>
      <vt:lpstr>_11_B身体０．５＿１．５</vt:lpstr>
      <vt:lpstr>_11_B身体０．５＿２．０</vt:lpstr>
      <vt:lpstr>_11_B身体０．５＿２．５</vt:lpstr>
      <vt:lpstr>_11_B身体１．０＿０．５</vt:lpstr>
      <vt:lpstr>_11_B身体１．０＿１．０</vt:lpstr>
      <vt:lpstr>_11_B身体１．０＿１．５</vt:lpstr>
      <vt:lpstr>_11_B身体１．０＿２．０</vt:lpstr>
      <vt:lpstr>_11_B身体１．５＿０．５</vt:lpstr>
      <vt:lpstr>_11_B身体１．５＿１．０</vt:lpstr>
      <vt:lpstr>_11_B身体１．５＿１．５</vt:lpstr>
      <vt:lpstr>_11_B身体２．０＿０．５</vt:lpstr>
      <vt:lpstr>_11_B身体２．０＿１．０</vt:lpstr>
      <vt:lpstr>_11_B身体２．５＿０．５</vt:lpstr>
      <vt:lpstr>_11_B通院１０．５＿０．５</vt:lpstr>
      <vt:lpstr>_11_B通院１０．５＿１．０</vt:lpstr>
      <vt:lpstr>_11_B通院１０．５＿１．５</vt:lpstr>
      <vt:lpstr>_11_B通院１０．５＿２．０</vt:lpstr>
      <vt:lpstr>_11_B通院１０．５＿２．５</vt:lpstr>
      <vt:lpstr>_11_B通院１１．０＿０．５</vt:lpstr>
      <vt:lpstr>_11_B通院１１．０＿１．０</vt:lpstr>
      <vt:lpstr>_11_B通院１１．０＿１．５</vt:lpstr>
      <vt:lpstr>_11_B通院１１．０＿２．０</vt:lpstr>
      <vt:lpstr>_11_B通院１１．５＿０．５</vt:lpstr>
      <vt:lpstr>_11_B通院１１．５＿１．０</vt:lpstr>
      <vt:lpstr>_11_B通院１１．５＿１．５</vt:lpstr>
      <vt:lpstr>_11_B通院１２．０＿０．５</vt:lpstr>
      <vt:lpstr>_11_B通院１２．０＿１．０</vt:lpstr>
      <vt:lpstr>_11_B通院１２．５＿０．５</vt:lpstr>
      <vt:lpstr>_11_B通院２０．５＿０．５</vt:lpstr>
      <vt:lpstr>_11_B通院２０．５＿１．０</vt:lpstr>
      <vt:lpstr>_11_B通院２１．０＿０．５</vt:lpstr>
      <vt:lpstr>_11_C家事０．５＿０．２５＿０．２５</vt:lpstr>
      <vt:lpstr>_11_C家事０．５＿０．２５＿０．５</vt:lpstr>
      <vt:lpstr>_11_C家事０．５＿０．２５＿０．７５</vt:lpstr>
      <vt:lpstr>_11_C家事０．５＿０．５＿０．２５</vt:lpstr>
      <vt:lpstr>_11_C家事０．５＿０．５＿０．５</vt:lpstr>
      <vt:lpstr>_11_C家事０．５＿０．７５＿０．２５</vt:lpstr>
      <vt:lpstr>_11_C家事０．７５＿０．２５＿０．２５</vt:lpstr>
      <vt:lpstr>_11_C家事０．７５＿０．２５＿０．５</vt:lpstr>
      <vt:lpstr>_11_C家事０．７５＿０．５＿０．２５</vt:lpstr>
      <vt:lpstr>_11_C家事１．０＿０．２５＿０．２５</vt:lpstr>
      <vt:lpstr>_11_C重度研修１．０＿０．５＿０．５</vt:lpstr>
      <vt:lpstr>_11_C重度研修１．０＿０．５＿１．０</vt:lpstr>
      <vt:lpstr>_11_C重度研修１．０＿０．５＿１．５</vt:lpstr>
      <vt:lpstr>_11_C重度研修１．０＿１．０＿０．５</vt:lpstr>
      <vt:lpstr>_11_C重度研修１．０＿１．０＿１．０</vt:lpstr>
      <vt:lpstr>_11_C重度研修１．０＿１．５＿０．５</vt:lpstr>
      <vt:lpstr>_11_C重度研修１．５＿０．５＿０．５</vt:lpstr>
      <vt:lpstr>_11_C重度研修１．５＿０．５＿１．０</vt:lpstr>
      <vt:lpstr>_11_C重度研修１．５＿１．０＿０．５</vt:lpstr>
      <vt:lpstr>_11_C重度研修２．０＿０．５＿０．５</vt:lpstr>
      <vt:lpstr>_11_C身体０．５＿０．５＿０．５</vt:lpstr>
      <vt:lpstr>_11_C身体０．５＿０．５＿１．０</vt:lpstr>
      <vt:lpstr>_11_C身体０．５＿０．５＿１．５</vt:lpstr>
      <vt:lpstr>_11_C身体０．５＿０．５＿２．０</vt:lpstr>
      <vt:lpstr>_11_C身体０．５＿１．０＿０．５</vt:lpstr>
      <vt:lpstr>_11_C身体０．５＿１．０＿１．０</vt:lpstr>
      <vt:lpstr>_11_C身体０．５＿１．０＿１．５</vt:lpstr>
      <vt:lpstr>_11_C身体０．５＿１．５＿０．５</vt:lpstr>
      <vt:lpstr>_11_C身体０．５＿１．５＿１．０</vt:lpstr>
      <vt:lpstr>_11_C身体０．５＿２．０＿０．５</vt:lpstr>
      <vt:lpstr>_11_C身体１．０＿０．５＿０．５</vt:lpstr>
      <vt:lpstr>_11_C身体１．０＿０．５＿１．０</vt:lpstr>
      <vt:lpstr>_11_C身体１．０＿０．５＿１．５</vt:lpstr>
      <vt:lpstr>_11_C身体１．０＿１．０＿０．５</vt:lpstr>
      <vt:lpstr>_11_C身体１．０＿１．０＿１．０</vt:lpstr>
      <vt:lpstr>_11_C身体１．０＿１．５＿０．５</vt:lpstr>
      <vt:lpstr>_11_C身体１．５＿０．５＿０．５</vt:lpstr>
      <vt:lpstr>_11_C身体１．５＿０．５＿１．０</vt:lpstr>
      <vt:lpstr>_11_C身体１．５＿１．０＿０．５</vt:lpstr>
      <vt:lpstr>_11_C身体２．０＿０．５＿０．５</vt:lpstr>
      <vt:lpstr>_11_C通院１０．５＿０．５＿０．５</vt:lpstr>
      <vt:lpstr>_11_C通院１０．５＿０．５＿１．０</vt:lpstr>
      <vt:lpstr>_11_C通院１０．５＿０．５＿１．５</vt:lpstr>
      <vt:lpstr>_11_C通院１０．５＿０．５＿２．０</vt:lpstr>
      <vt:lpstr>_11_C通院１０．５＿１．０＿０．５</vt:lpstr>
      <vt:lpstr>_11_C通院１０．５＿１．０＿１．０</vt:lpstr>
      <vt:lpstr>_11_C通院１０．５＿１．０＿１．５</vt:lpstr>
      <vt:lpstr>_11_C通院１０．５＿１．５＿０．５</vt:lpstr>
      <vt:lpstr>_11_C通院１０．５＿１．５＿１．０</vt:lpstr>
      <vt:lpstr>_11_C通院１０．５＿２．０＿０．５</vt:lpstr>
      <vt:lpstr>_11_C通院１１．０＿０．５＿０．５</vt:lpstr>
      <vt:lpstr>_11_C通院１１．０＿０．５＿１．０</vt:lpstr>
      <vt:lpstr>_11_C通院１１．０＿０．５＿１．５</vt:lpstr>
      <vt:lpstr>_11_C通院１１．０＿１．０＿０．５</vt:lpstr>
      <vt:lpstr>_11_C通院１１．０＿１．０＿１．０</vt:lpstr>
      <vt:lpstr>_11_C通院１１．０＿１．５＿０．５</vt:lpstr>
      <vt:lpstr>_11_C通院１１．５＿０．５＿０．５</vt:lpstr>
      <vt:lpstr>_11_C通院１１．５＿０．５＿１．０</vt:lpstr>
      <vt:lpstr>_11_C通院１１．５＿１．０＿０．５</vt:lpstr>
      <vt:lpstr>_11_C通院１２．０＿０．５＿０．５</vt:lpstr>
      <vt:lpstr>_11_C通院２０．５＿０．５＿０．５</vt:lpstr>
      <vt:lpstr>_11・２人</vt:lpstr>
      <vt:lpstr>_11・A深夜</vt:lpstr>
      <vt:lpstr>_11・A早朝</vt:lpstr>
      <vt:lpstr>_11・A夜間</vt:lpstr>
      <vt:lpstr>_11・B深夜</vt:lpstr>
      <vt:lpstr>_11・B早朝</vt:lpstr>
      <vt:lpstr>_11・B夜間</vt:lpstr>
      <vt:lpstr>_11・C深夜</vt:lpstr>
      <vt:lpstr>_11・C夜間</vt:lpstr>
      <vt:lpstr>_11・基礎１</vt:lpstr>
      <vt:lpstr>_11・基礎２</vt:lpstr>
      <vt:lpstr>_11・虐防措減算</vt:lpstr>
      <vt:lpstr>_11・業継計減算</vt:lpstr>
      <vt:lpstr>_11・重度研修</vt:lpstr>
      <vt:lpstr>_11・初任</vt:lpstr>
      <vt:lpstr>_11・情公減算</vt:lpstr>
      <vt:lpstr>_11・身拘廃減算</vt:lpstr>
      <vt:lpstr>_15_同援日０．５</vt:lpstr>
      <vt:lpstr>_15_同援日０．５＿０．５</vt:lpstr>
      <vt:lpstr>_15_同援日０．５＿０．５＿０．５</vt:lpstr>
      <vt:lpstr>_15_同援日０．５＿０．５＿１．０</vt:lpstr>
      <vt:lpstr>_15_同援日０．５＿０．５＿１．５</vt:lpstr>
      <vt:lpstr>_15_同援日０．５＿０．５＿２．０</vt:lpstr>
      <vt:lpstr>_15_同援日０．５＿１．０</vt:lpstr>
      <vt:lpstr>_15_同援日０．５＿１．０＿０．５</vt:lpstr>
      <vt:lpstr>_15_同援日０．５＿１．０＿１．０</vt:lpstr>
      <vt:lpstr>_15_同援日０．５＿１．０＿１．５</vt:lpstr>
      <vt:lpstr>_15_同援日０．５＿１．５</vt:lpstr>
      <vt:lpstr>_15_同援日０．５＿１．５＿０．５</vt:lpstr>
      <vt:lpstr>_15_同援日０．５＿１．５＿１．０</vt:lpstr>
      <vt:lpstr>_15_同援日０．５＿２．０</vt:lpstr>
      <vt:lpstr>_15_同援日０．５＿２．０＿０．５</vt:lpstr>
      <vt:lpstr>_15_同援日０．５＿２．５</vt:lpstr>
      <vt:lpstr>_15_同援日１．０</vt:lpstr>
      <vt:lpstr>_15_同援日１．０＿０．５</vt:lpstr>
      <vt:lpstr>_15_同援日１．０＿０．５＿０．５</vt:lpstr>
      <vt:lpstr>_15_同援日１．０＿０．５＿１．０</vt:lpstr>
      <vt:lpstr>_15_同援日１．０＿０．５＿１．５</vt:lpstr>
      <vt:lpstr>_15_同援日１．０＿１．０</vt:lpstr>
      <vt:lpstr>_15_同援日１．０＿１．０＿０．５</vt:lpstr>
      <vt:lpstr>_15_同援日１．０＿１．０＿１．０</vt:lpstr>
      <vt:lpstr>_15_同援日１．０＿１．５</vt:lpstr>
      <vt:lpstr>_15_同援日１．０＿１．５＿０．５</vt:lpstr>
      <vt:lpstr>_15_同援日１．０＿２．０</vt:lpstr>
      <vt:lpstr>_15_同援日１．５</vt:lpstr>
      <vt:lpstr>_15_同援日１．５＿０．５</vt:lpstr>
      <vt:lpstr>_15_同援日１．５＿０．５＿０．５</vt:lpstr>
      <vt:lpstr>_15_同援日１．５＿０．５＿１．０</vt:lpstr>
      <vt:lpstr>_15_同援日１．５＿１．０</vt:lpstr>
      <vt:lpstr>_15_同援日１．５＿１．０＿０．５</vt:lpstr>
      <vt:lpstr>_15_同援日１．５＿１．５</vt:lpstr>
      <vt:lpstr>_15_同援日１０．０</vt:lpstr>
      <vt:lpstr>_15_同援日１０．５</vt:lpstr>
      <vt:lpstr>_15_同援日２．０</vt:lpstr>
      <vt:lpstr>_15_同援日２．０＿０．５</vt:lpstr>
      <vt:lpstr>_15_同援日２．０＿０．５＿０．５</vt:lpstr>
      <vt:lpstr>_15_同援日２．０＿１．０</vt:lpstr>
      <vt:lpstr>_15_同援日２．５</vt:lpstr>
      <vt:lpstr>_15_同援日２．５＿０．５</vt:lpstr>
      <vt:lpstr>_15_同援日３．０</vt:lpstr>
      <vt:lpstr>_15_同援日３．５</vt:lpstr>
      <vt:lpstr>_15_同援日４．０</vt:lpstr>
      <vt:lpstr>_15_同援日４．５</vt:lpstr>
      <vt:lpstr>_15_同援日５．０</vt:lpstr>
      <vt:lpstr>_15_同援日５．５</vt:lpstr>
      <vt:lpstr>_15_同援日６．０</vt:lpstr>
      <vt:lpstr>_15_同援日６．５</vt:lpstr>
      <vt:lpstr>_15_同援日７．０</vt:lpstr>
      <vt:lpstr>_15_同援日７．５</vt:lpstr>
      <vt:lpstr>_15_同援日８．０</vt:lpstr>
      <vt:lpstr>_15_同援日８．５</vt:lpstr>
      <vt:lpstr>_15_同援日９．０</vt:lpstr>
      <vt:lpstr>_15_同援日９．５</vt:lpstr>
      <vt:lpstr>_15_同援日増０．５</vt:lpstr>
      <vt:lpstr>_15_同援日増１．０</vt:lpstr>
      <vt:lpstr>_15_同援日増１．５</vt:lpstr>
      <vt:lpstr>_15_同援日増１０．０</vt:lpstr>
      <vt:lpstr>_15_同援日増１０．５</vt:lpstr>
      <vt:lpstr>_15_同援日増２．０</vt:lpstr>
      <vt:lpstr>_15_同援日増２．５</vt:lpstr>
      <vt:lpstr>_15_同援日増３．０</vt:lpstr>
      <vt:lpstr>_15_同援日増３．５</vt:lpstr>
      <vt:lpstr>_15_同援日増４．０</vt:lpstr>
      <vt:lpstr>_15_同援日増４．５</vt:lpstr>
      <vt:lpstr>_15_同援日増５．０</vt:lpstr>
      <vt:lpstr>_15_同援日増５．５</vt:lpstr>
      <vt:lpstr>_15_同援日増６．０</vt:lpstr>
      <vt:lpstr>_15_同援日増６．５</vt:lpstr>
      <vt:lpstr>_15_同援日増７．０</vt:lpstr>
      <vt:lpstr>_15_同援日増７．５</vt:lpstr>
      <vt:lpstr>_15_同援日増８．０</vt:lpstr>
      <vt:lpstr>_15_同援日増８．５</vt:lpstr>
      <vt:lpstr>_15_同援日増９．０</vt:lpstr>
      <vt:lpstr>_15_同援日増９．５</vt:lpstr>
      <vt:lpstr>_15・２人</vt:lpstr>
      <vt:lpstr>_15・A深夜</vt:lpstr>
      <vt:lpstr>_15・A早朝</vt:lpstr>
      <vt:lpstr>_15・A夜間</vt:lpstr>
      <vt:lpstr>_15・B深夜</vt:lpstr>
      <vt:lpstr>_15・B早朝</vt:lpstr>
      <vt:lpstr>_15・B夜間</vt:lpstr>
      <vt:lpstr>_15・C深夜</vt:lpstr>
      <vt:lpstr>_15・C夜間</vt:lpstr>
      <vt:lpstr>_15・基礎２</vt:lpstr>
      <vt:lpstr>_15・区３</vt:lpstr>
      <vt:lpstr>_15・区４</vt:lpstr>
      <vt:lpstr>_15・通訳</vt:lpstr>
      <vt:lpstr>_15・盲ろう</vt:lpstr>
      <vt:lpstr>'(身体あり、2h未合成１)'!Print_Area</vt:lpstr>
      <vt:lpstr>'(身体あり、2h未合成２)'!Print_Area</vt:lpstr>
      <vt:lpstr>'(身体あり、2h未合成３‐1)'!Print_Area</vt:lpstr>
      <vt:lpstr>'(身体あり、合成深夜)'!Print_Area</vt:lpstr>
      <vt:lpstr>'(身体あり、合成早朝)'!Print_Area</vt:lpstr>
      <vt:lpstr>'(身体あり、合成日中)'!Print_Area</vt:lpstr>
      <vt:lpstr>'(身体あり、合成夜間１)'!Print_Area</vt:lpstr>
      <vt:lpstr>'(身体あり、合成夜間２)'!Print_Area</vt:lpstr>
      <vt:lpstr>'(身体あり、深夜増分)'!Print_Area</vt:lpstr>
      <vt:lpstr>'(身体あり、深夜増分)(補正)'!Print_Area</vt:lpstr>
      <vt:lpstr>'(身体あり、早朝夜間増分)'!Print_Area</vt:lpstr>
      <vt:lpstr>'(身体あり、早朝夜間増分)(補正)'!Print_Area</vt:lpstr>
      <vt:lpstr>'(身体あり、単一深夜)'!Print_Area</vt:lpstr>
      <vt:lpstr>'(身体あり、単一早朝夜間)'!Print_Area</vt:lpstr>
      <vt:lpstr>'(身体あり、単一日中)'!Print_Area</vt:lpstr>
      <vt:lpstr>'(身体あり、日中増分)'!Print_Area</vt:lpstr>
      <vt:lpstr>'(身体あり、日中増分)(補正)'!Print_Area</vt:lpstr>
      <vt:lpstr>'(身体なし、2h未合成１)'!Print_Area</vt:lpstr>
      <vt:lpstr>'(身体なし、合成１)'!Print_Area</vt:lpstr>
      <vt:lpstr>'(身体なし、合成２)'!Print_Area</vt:lpstr>
      <vt:lpstr>'(身体なし、深夜増分)'!Print_Area</vt:lpstr>
      <vt:lpstr>'(身体なし、深夜増分)(補正)'!Print_Area</vt:lpstr>
      <vt:lpstr>'(身体なし、早朝夜間増分)'!Print_Area</vt:lpstr>
      <vt:lpstr>'(身体なし、早朝夜間増分)(補正)'!Print_Area</vt:lpstr>
      <vt:lpstr>'(身体なし、単一深夜)'!Print_Area</vt:lpstr>
      <vt:lpstr>'(身体なし、単一早朝夜間)'!Print_Area</vt:lpstr>
      <vt:lpstr>'(身体なし、単一日中)'!Print_Area</vt:lpstr>
      <vt:lpstr>'(身体なし、日中増分)'!Print_Area</vt:lpstr>
      <vt:lpstr>'(身体なし、日中増分)(補正)'!Print_Area</vt:lpstr>
      <vt:lpstr>上限管理加算!Print_Area</vt:lpstr>
      <vt:lpstr>'(身体あり、2h未合成１)'!Print_Titles</vt:lpstr>
      <vt:lpstr>'(身体あり、2h未合成２)'!Print_Titles</vt:lpstr>
      <vt:lpstr>'(身体あり、2h未合成３‐1)'!Print_Titles</vt:lpstr>
      <vt:lpstr>'(身体あり、合成深夜)'!Print_Titles</vt:lpstr>
      <vt:lpstr>'(身体あり、合成早朝)'!Print_Titles</vt:lpstr>
      <vt:lpstr>'(身体あり、合成日中)'!Print_Titles</vt:lpstr>
      <vt:lpstr>'(身体あり、合成夜間１)'!Print_Titles</vt:lpstr>
      <vt:lpstr>'(身体あり、合成夜間２)'!Print_Titles</vt:lpstr>
      <vt:lpstr>'(身体あり、深夜増分)'!Print_Titles</vt:lpstr>
      <vt:lpstr>'(身体あり、深夜増分)(補正)'!Print_Titles</vt:lpstr>
      <vt:lpstr>'(身体あり、単一深夜)'!Print_Titles</vt:lpstr>
      <vt:lpstr>'(身体あり、単一日中)'!Print_Titles</vt:lpstr>
      <vt:lpstr>'(身体あり、日中増分)'!Print_Titles</vt:lpstr>
      <vt:lpstr>'(身体あり、日中増分)(補正)'!Print_Titles</vt:lpstr>
      <vt:lpstr>'(身体なし、深夜増分)'!Print_Titles</vt:lpstr>
      <vt:lpstr>'(身体なし、深夜増分)(補正)'!Print_Titles</vt:lpstr>
      <vt:lpstr>'(身体なし、単一深夜)'!Print_Titles</vt:lpstr>
      <vt:lpstr>'(身体なし、単一日中)'!Print_Titles</vt:lpstr>
      <vt:lpstr>'(身体なし、日中増分)'!Print_Titles</vt:lpstr>
      <vt:lpstr>'(身体なし、日中増分)(補正)'!Print_Titles</vt:lpstr>
      <vt:lpstr>上限管理加算!Print_Titles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2024-03-30T05:28:33Z</dcterms:created>
  <dcterms:modified xsi:type="dcterms:W3CDTF">2025-07-17T07:46:38Z</dcterms:modified>
</cp:coreProperties>
</file>